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0" yWindow="3210" windowWidth="19440" windowHeight="4365" tabRatio="836" firstSheet="2" activeTab="10"/>
  </bookViews>
  <sheets>
    <sheet name="ביצוע 31.12" sheetId="45" state="hidden" r:id="rId1"/>
    <sheet name="סיכום 9.17   (2)" sheetId="63" state="hidden" r:id="rId2"/>
    <sheet name="סיכום 9.17  " sheetId="49" r:id="rId3"/>
    <sheet name="סיכום 7.16 " sheetId="56" state="hidden" r:id="rId4"/>
    <sheet name="חמ&quot;ע" sheetId="27" r:id="rId5"/>
    <sheet name="צרפת" sheetId="28" r:id="rId6"/>
    <sheet name="צ.אמריקה " sheetId="54" r:id="rId7"/>
    <sheet name="אנגליה" sheetId="29" r:id="rId8"/>
    <sheet name="הונגריה ומזרח אירופה" sheetId="41" r:id="rId9"/>
    <sheet name="ארגנטינה" sheetId="30" r:id="rId10"/>
    <sheet name="ברזיל" sheetId="31" r:id="rId11"/>
    <sheet name="גלובל" sheetId="62" r:id="rId12"/>
    <sheet name="הכשרת מורים" sheetId="32" r:id="rId13"/>
  </sheets>
  <externalReferences>
    <externalReference r:id="rId14"/>
    <externalReference r:id="rId15"/>
    <externalReference r:id="rId16"/>
    <externalReference r:id="rId17"/>
    <externalReference r:id="rId18"/>
    <externalReference r:id="rId19"/>
    <externalReference r:id="rId20"/>
  </externalReferences>
  <definedNames>
    <definedName name="_xlnm._FilterDatabase" localSheetId="3" hidden="1">'סיכום 7.16 '!$A$1:$N$79</definedName>
    <definedName name="_xlnm._FilterDatabase" localSheetId="2" hidden="1">'סיכום 9.17  '!$A$1:$N$99</definedName>
    <definedName name="_xlnm._FilterDatabase" localSheetId="1" hidden="1">'סיכום 9.17   (2)'!$A$1:$N$99</definedName>
    <definedName name="_xlnm.Print_Area" localSheetId="7">אנגליה!$K$1:$S$86</definedName>
    <definedName name="_xlnm.Print_Area" localSheetId="9">ארגנטינה!$N$1:$V$137</definedName>
    <definedName name="_xlnm.Print_Area" localSheetId="10">ברזיל!$N$1:$V$115</definedName>
    <definedName name="_xlnm.Print_Area" localSheetId="11">גלובל!$K$2:$S$19</definedName>
    <definedName name="_xlnm.Print_Area" localSheetId="8">'הונגריה ומזרח אירופה'!$K$1:$S$17</definedName>
    <definedName name="_xlnm.Print_Area" localSheetId="12">'הכשרת מורים'!$H$1:$Q$13</definedName>
    <definedName name="_xlnm.Print_Area" localSheetId="4">'חמ"ע'!$J$1:$V$311</definedName>
    <definedName name="_xlnm.Print_Area" localSheetId="3">'סיכום 7.16 '!$A$1:$M$78</definedName>
    <definedName name="_xlnm.Print_Area" localSheetId="2">'סיכום 9.17  '!$A$1:$M$104</definedName>
    <definedName name="_xlnm.Print_Area" localSheetId="1">'סיכום 9.17   (2)'!$A$1:$M$104</definedName>
    <definedName name="_xlnm.Print_Area" localSheetId="6">'צ.אמריקה '!$K$1:$S$110</definedName>
    <definedName name="_xlnm.Print_Area" localSheetId="5">צרפת!$K$1:$S$285</definedName>
    <definedName name="_xlnm.Print_Titles" localSheetId="3">'סיכום 7.16 '!$1:$1</definedName>
    <definedName name="_xlnm.Print_Titles" localSheetId="2">'סיכום 9.17  '!$1:$1</definedName>
    <definedName name="_xlnm.Print_Titles" localSheetId="1">'סיכום 9.17   (2)'!$1:$1</definedName>
  </definedNames>
  <calcPr calcId="145621"/>
</workbook>
</file>

<file path=xl/calcChain.xml><?xml version="1.0" encoding="utf-8"?>
<calcChain xmlns="http://schemas.openxmlformats.org/spreadsheetml/2006/main">
  <c r="F98" i="49" l="1"/>
  <c r="O48" i="54" l="1"/>
  <c r="O47" i="54"/>
  <c r="P48" i="54"/>
  <c r="P47" i="54"/>
  <c r="V263" i="27" l="1"/>
  <c r="V262" i="27"/>
  <c r="C5" i="30" l="1"/>
  <c r="D5" i="30"/>
  <c r="E5" i="30" s="1"/>
  <c r="C6" i="30"/>
  <c r="D6" i="30"/>
  <c r="E6" i="30" s="1"/>
  <c r="C7" i="30"/>
  <c r="D7" i="30"/>
  <c r="E7" i="30" s="1"/>
  <c r="D8" i="30"/>
  <c r="E8" i="30" s="1"/>
  <c r="D19" i="30"/>
  <c r="E19" i="30"/>
  <c r="C20" i="30"/>
  <c r="E20" i="30"/>
  <c r="C21" i="30"/>
  <c r="E21" i="30" s="1"/>
  <c r="D21" i="30"/>
  <c r="E24" i="30"/>
  <c r="D25" i="30"/>
  <c r="E25" i="30"/>
  <c r="D26" i="30"/>
  <c r="E26" i="30"/>
  <c r="D28" i="30"/>
  <c r="E28" i="30"/>
  <c r="D29" i="30"/>
  <c r="E29" i="30"/>
  <c r="E30" i="30"/>
  <c r="H31" i="30"/>
  <c r="I31" i="30"/>
  <c r="D37" i="30"/>
  <c r="E37" i="30" s="1"/>
  <c r="E39" i="30" s="1"/>
  <c r="F37" i="30"/>
  <c r="F39" i="30" s="1"/>
  <c r="D38" i="30"/>
  <c r="E38" i="30"/>
  <c r="F38" i="30"/>
  <c r="G39" i="30"/>
  <c r="H39" i="30"/>
  <c r="I39" i="30"/>
  <c r="C45" i="30"/>
  <c r="D45" i="30"/>
  <c r="E45" i="30" s="1"/>
  <c r="C46" i="30"/>
  <c r="E46" i="30" s="1"/>
  <c r="D46" i="30"/>
  <c r="D47" i="30"/>
  <c r="E47" i="30"/>
  <c r="D53" i="30"/>
  <c r="E53" i="30"/>
  <c r="E56" i="30" s="1"/>
  <c r="F53" i="30"/>
  <c r="J53" i="30"/>
  <c r="D54" i="30"/>
  <c r="E54" i="30"/>
  <c r="F54" i="30"/>
  <c r="J54" i="30"/>
  <c r="D55" i="30"/>
  <c r="E55" i="30"/>
  <c r="F55" i="30"/>
  <c r="F56" i="30" s="1"/>
  <c r="C62" i="30"/>
  <c r="E62" i="30" s="1"/>
  <c r="D62" i="30"/>
  <c r="I62" i="30" s="1"/>
  <c r="C63" i="30"/>
  <c r="D74" i="30"/>
  <c r="E74" i="30" s="1"/>
  <c r="E77" i="30" s="1"/>
  <c r="F74" i="30"/>
  <c r="J74" i="30"/>
  <c r="D75" i="30"/>
  <c r="F75" i="30" s="1"/>
  <c r="E75" i="30"/>
  <c r="J75" i="30"/>
  <c r="D76" i="30"/>
  <c r="F76" i="30" s="1"/>
  <c r="E76" i="30"/>
  <c r="J76" i="30"/>
  <c r="C85" i="30"/>
  <c r="E85" i="30" s="1"/>
  <c r="E86" i="30"/>
  <c r="C88" i="30"/>
  <c r="E88" i="30"/>
  <c r="C89" i="30"/>
  <c r="D89" i="30"/>
  <c r="E89" i="30" s="1"/>
  <c r="D96" i="30"/>
  <c r="F96" i="30" s="1"/>
  <c r="F98" i="30" s="1"/>
  <c r="E96" i="30"/>
  <c r="I96" i="30"/>
  <c r="J96" i="30"/>
  <c r="E97" i="30"/>
  <c r="F97" i="30"/>
  <c r="I97" i="30"/>
  <c r="J97" i="30"/>
  <c r="E98" i="30"/>
  <c r="I98" i="30"/>
  <c r="D105" i="30"/>
  <c r="E105" i="30"/>
  <c r="E108" i="30" s="1"/>
  <c r="C106" i="30"/>
  <c r="D106" i="30"/>
  <c r="E106" i="30" s="1"/>
  <c r="C107" i="30"/>
  <c r="E107" i="30" s="1"/>
  <c r="D107" i="30"/>
  <c r="E116" i="30"/>
  <c r="E128" i="30"/>
  <c r="E135" i="30"/>
  <c r="I135" i="30"/>
  <c r="G137" i="30"/>
  <c r="H137" i="30"/>
  <c r="E90" i="30" l="1"/>
  <c r="D63" i="30"/>
  <c r="E48" i="30"/>
  <c r="F49" i="30" s="1"/>
  <c r="E31" i="30"/>
  <c r="E33" i="30" s="1"/>
  <c r="E9" i="30"/>
  <c r="F77" i="30"/>
  <c r="I74" i="30" s="1"/>
  <c r="I77" i="30" s="1"/>
  <c r="E63" i="30" l="1"/>
  <c r="E66" i="30" s="1"/>
  <c r="E137" i="30" s="1"/>
  <c r="I63" i="30"/>
  <c r="I66" i="30" s="1"/>
  <c r="I137" i="30" s="1"/>
  <c r="F137" i="30"/>
  <c r="E86" i="49" l="1"/>
  <c r="E85" i="49"/>
  <c r="E84" i="49"/>
  <c r="O116" i="28" l="1"/>
  <c r="N8" i="54" l="1"/>
  <c r="E66" i="49" l="1"/>
  <c r="M10" i="54"/>
  <c r="N137" i="28"/>
  <c r="N145" i="28"/>
  <c r="M48" i="54"/>
  <c r="N48" i="54" l="1"/>
  <c r="M47" i="54"/>
  <c r="M5" i="54" l="1"/>
  <c r="M7" i="54"/>
  <c r="M6" i="54"/>
  <c r="U6" i="54" s="1"/>
  <c r="AA7" i="54"/>
  <c r="Z7" i="54"/>
  <c r="Y7" i="54"/>
  <c r="X7" i="54"/>
  <c r="V7" i="54"/>
  <c r="U7" i="54"/>
  <c r="O7" i="54"/>
  <c r="W7" i="54" s="1"/>
  <c r="AA6" i="54"/>
  <c r="Z6" i="54"/>
  <c r="Y6" i="54"/>
  <c r="X6" i="54"/>
  <c r="V6" i="54"/>
  <c r="N5" i="54"/>
  <c r="V5" i="54" s="1"/>
  <c r="AA5" i="54"/>
  <c r="Z5" i="54"/>
  <c r="Y5" i="54"/>
  <c r="X5" i="54"/>
  <c r="U5" i="54"/>
  <c r="M8" i="54"/>
  <c r="U8" i="54" s="1"/>
  <c r="V8" i="54"/>
  <c r="X8" i="54"/>
  <c r="Y8" i="54"/>
  <c r="Z8" i="54"/>
  <c r="AA8" i="54"/>
  <c r="W6" i="54" l="1"/>
  <c r="O5" i="54"/>
  <c r="O8" i="54"/>
  <c r="W8" i="54" s="1"/>
  <c r="W5" i="54" l="1"/>
  <c r="M11" i="29" l="1"/>
  <c r="M10" i="29"/>
  <c r="M9" i="29"/>
  <c r="P30" i="30"/>
  <c r="P29" i="30"/>
  <c r="P28" i="30"/>
  <c r="O11" i="32"/>
  <c r="P9" i="32"/>
  <c r="P10" i="32"/>
  <c r="F14" i="32"/>
  <c r="D109" i="63"/>
  <c r="O8" i="32"/>
  <c r="N5" i="62" l="1"/>
  <c r="S103" i="54"/>
  <c r="R103" i="54"/>
  <c r="Q103" i="54"/>
  <c r="P103" i="54"/>
  <c r="O104" i="54"/>
  <c r="M100" i="54"/>
  <c r="C10" i="27" l="1"/>
  <c r="W89" i="28"/>
  <c r="V89" i="28"/>
  <c r="U89" i="28"/>
  <c r="N101" i="28"/>
  <c r="O181" i="28"/>
  <c r="V180" i="28"/>
  <c r="V182" i="28"/>
  <c r="N182" i="28"/>
  <c r="M193" i="28"/>
  <c r="Y53" i="27" l="1"/>
  <c r="Y54" i="27"/>
  <c r="Y55" i="27"/>
  <c r="Y52" i="27"/>
  <c r="Y13" i="27"/>
  <c r="Y10" i="27"/>
  <c r="Y11" i="27"/>
  <c r="Y12" i="27"/>
  <c r="N181" i="28"/>
  <c r="R23" i="31"/>
  <c r="Z23" i="31" s="1"/>
  <c r="X23" i="31"/>
  <c r="Y23" i="31"/>
  <c r="AA23" i="31"/>
  <c r="AC23" i="31"/>
  <c r="AD23" i="31"/>
  <c r="Q39" i="31"/>
  <c r="N6" i="41"/>
  <c r="R32" i="31" l="1"/>
  <c r="N90" i="54"/>
  <c r="N75" i="54" l="1"/>
  <c r="D87" i="49" l="1"/>
  <c r="D87" i="63" s="1"/>
  <c r="D86" i="49"/>
  <c r="D86" i="63" s="1"/>
  <c r="D85" i="49"/>
  <c r="D85" i="63" s="1"/>
  <c r="D84" i="49"/>
  <c r="D84" i="63" s="1"/>
  <c r="D83" i="49"/>
  <c r="D83" i="63" s="1"/>
  <c r="D82" i="49"/>
  <c r="D82" i="63" s="1"/>
  <c r="D81" i="49"/>
  <c r="D81" i="63" s="1"/>
  <c r="M63" i="28"/>
  <c r="M51" i="28"/>
  <c r="N66" i="28"/>
  <c r="M49" i="28"/>
  <c r="S47" i="63" l="1"/>
  <c r="T311" i="27"/>
  <c r="N12" i="28"/>
  <c r="M12" i="28"/>
  <c r="N21" i="28"/>
  <c r="M21" i="28"/>
  <c r="N53" i="28"/>
  <c r="M53" i="28"/>
  <c r="N39" i="29" l="1"/>
  <c r="D39" i="29"/>
  <c r="X115" i="30" l="1"/>
  <c r="Y115" i="30"/>
  <c r="Y97" i="30"/>
  <c r="Q38" i="30"/>
  <c r="X61" i="30"/>
  <c r="Y61" i="30"/>
  <c r="Z61" i="30"/>
  <c r="AA61" i="30"/>
  <c r="AA62" i="30"/>
  <c r="AA63" i="30"/>
  <c r="X64" i="30"/>
  <c r="Y64" i="30"/>
  <c r="Z64" i="30"/>
  <c r="AA64" i="30"/>
  <c r="X65" i="30"/>
  <c r="AA65" i="30"/>
  <c r="O94" i="63" l="1"/>
  <c r="N94" i="63"/>
  <c r="M94" i="63"/>
  <c r="K94" i="63"/>
  <c r="J94" i="63"/>
  <c r="H94" i="63"/>
  <c r="G93" i="63"/>
  <c r="E93" i="63"/>
  <c r="D93" i="63"/>
  <c r="E91" i="63"/>
  <c r="D91" i="63"/>
  <c r="F90" i="63"/>
  <c r="E90" i="63"/>
  <c r="D90" i="63"/>
  <c r="L89" i="63"/>
  <c r="K89" i="63"/>
  <c r="J89" i="63"/>
  <c r="I89" i="63"/>
  <c r="E87" i="63"/>
  <c r="E83" i="63"/>
  <c r="E82" i="63"/>
  <c r="E81" i="63"/>
  <c r="O80" i="63"/>
  <c r="N80" i="63"/>
  <c r="K80" i="63"/>
  <c r="E78" i="63"/>
  <c r="D78" i="63"/>
  <c r="I77" i="63"/>
  <c r="G77" i="63"/>
  <c r="F77" i="63"/>
  <c r="E77" i="63"/>
  <c r="D77" i="63"/>
  <c r="G76" i="63"/>
  <c r="F76" i="63"/>
  <c r="H76" i="63" s="1"/>
  <c r="E76" i="63"/>
  <c r="D76" i="63"/>
  <c r="G75" i="63"/>
  <c r="E75" i="63"/>
  <c r="G74" i="63"/>
  <c r="F74" i="63"/>
  <c r="E74" i="63"/>
  <c r="M73" i="63"/>
  <c r="E73" i="63"/>
  <c r="O72" i="63"/>
  <c r="N72" i="63"/>
  <c r="L72" i="63"/>
  <c r="J72" i="63"/>
  <c r="D70" i="63"/>
  <c r="G69" i="63"/>
  <c r="E69" i="63"/>
  <c r="G68" i="63"/>
  <c r="E68" i="63"/>
  <c r="E67" i="63"/>
  <c r="E66" i="63"/>
  <c r="E65" i="63"/>
  <c r="G64" i="63"/>
  <c r="E64" i="63"/>
  <c r="G63" i="63"/>
  <c r="E63" i="63"/>
  <c r="G62" i="63"/>
  <c r="E62" i="63"/>
  <c r="L61" i="63"/>
  <c r="J61" i="63"/>
  <c r="D59" i="63"/>
  <c r="G58" i="63"/>
  <c r="E58" i="63"/>
  <c r="D58" i="63"/>
  <c r="G57" i="63"/>
  <c r="E57" i="63"/>
  <c r="G56" i="63"/>
  <c r="E56" i="63"/>
  <c r="E55" i="63"/>
  <c r="G54" i="63"/>
  <c r="E54" i="63"/>
  <c r="E53" i="63"/>
  <c r="E52" i="63"/>
  <c r="E51" i="63"/>
  <c r="E50" i="63"/>
  <c r="G48" i="63"/>
  <c r="E48" i="63"/>
  <c r="O47" i="63"/>
  <c r="N47" i="63"/>
  <c r="L47" i="63"/>
  <c r="E45" i="63"/>
  <c r="E44" i="63"/>
  <c r="E43" i="63"/>
  <c r="J41" i="63"/>
  <c r="E41" i="63"/>
  <c r="E40" i="63"/>
  <c r="E39" i="63"/>
  <c r="E38" i="63"/>
  <c r="I37" i="63"/>
  <c r="E36" i="63"/>
  <c r="J35" i="63"/>
  <c r="E35" i="63"/>
  <c r="E34" i="63"/>
  <c r="E30" i="63"/>
  <c r="E29" i="63"/>
  <c r="E28" i="63"/>
  <c r="E27" i="63"/>
  <c r="E26" i="63"/>
  <c r="E25" i="63"/>
  <c r="O24" i="63"/>
  <c r="N24" i="63"/>
  <c r="M24" i="63"/>
  <c r="L24" i="63"/>
  <c r="H24" i="63"/>
  <c r="F23" i="63"/>
  <c r="E23" i="63"/>
  <c r="K22" i="63"/>
  <c r="J22" i="63"/>
  <c r="I22" i="63"/>
  <c r="G21" i="63"/>
  <c r="F21" i="63"/>
  <c r="E21" i="63"/>
  <c r="K20" i="63"/>
  <c r="G20" i="63"/>
  <c r="F20" i="63"/>
  <c r="G19" i="63"/>
  <c r="F19" i="63"/>
  <c r="E19" i="63"/>
  <c r="J19" i="63" s="1"/>
  <c r="K18" i="63"/>
  <c r="J18" i="63"/>
  <c r="I18" i="63"/>
  <c r="G18" i="63"/>
  <c r="F18" i="63"/>
  <c r="E18" i="63"/>
  <c r="G17" i="63"/>
  <c r="E17" i="63"/>
  <c r="G16" i="63"/>
  <c r="F16" i="63"/>
  <c r="E16" i="63"/>
  <c r="K15" i="63"/>
  <c r="J15" i="63"/>
  <c r="G15" i="63"/>
  <c r="F15" i="63"/>
  <c r="E15" i="63"/>
  <c r="G14" i="63"/>
  <c r="F14" i="63"/>
  <c r="E14" i="63"/>
  <c r="G13" i="63"/>
  <c r="F13" i="63"/>
  <c r="E13" i="63"/>
  <c r="K12" i="63"/>
  <c r="J12" i="63"/>
  <c r="G12" i="63"/>
  <c r="F12" i="63"/>
  <c r="E12" i="63"/>
  <c r="K11" i="63"/>
  <c r="J11" i="63"/>
  <c r="E11" i="63"/>
  <c r="G10" i="63"/>
  <c r="F10" i="63"/>
  <c r="E10" i="63"/>
  <c r="K9" i="63"/>
  <c r="J9" i="63"/>
  <c r="G9" i="63"/>
  <c r="E9" i="63"/>
  <c r="K8" i="63"/>
  <c r="J8" i="63"/>
  <c r="G8" i="63"/>
  <c r="E8" i="63"/>
  <c r="K7" i="63"/>
  <c r="J7" i="63"/>
  <c r="I7" i="63"/>
  <c r="G6" i="63"/>
  <c r="F6" i="63"/>
  <c r="E6" i="63"/>
  <c r="K5" i="63"/>
  <c r="J5" i="63"/>
  <c r="G5" i="63"/>
  <c r="F5" i="63"/>
  <c r="E5" i="63"/>
  <c r="G4" i="63"/>
  <c r="F4" i="63"/>
  <c r="E4" i="63"/>
  <c r="G3" i="63"/>
  <c r="E3" i="63"/>
  <c r="E89" i="63" l="1"/>
  <c r="I12" i="63"/>
  <c r="I13" i="63"/>
  <c r="I21" i="63"/>
  <c r="M80" i="63"/>
  <c r="R80" i="63" s="1"/>
  <c r="O99" i="63"/>
  <c r="I90" i="63"/>
  <c r="L99" i="63"/>
  <c r="I14" i="63"/>
  <c r="I19" i="63"/>
  <c r="F92" i="63"/>
  <c r="J24" i="63"/>
  <c r="I16" i="63"/>
  <c r="I23" i="63"/>
  <c r="N99" i="63"/>
  <c r="G94" i="63"/>
  <c r="I4" i="63"/>
  <c r="I5" i="63"/>
  <c r="I6" i="63"/>
  <c r="I10" i="63"/>
  <c r="I15" i="63"/>
  <c r="I20" i="63"/>
  <c r="H74" i="63"/>
  <c r="J47" i="63"/>
  <c r="J99" i="63" l="1"/>
  <c r="I92" i="63"/>
  <c r="E51" i="49"/>
  <c r="Q47" i="30"/>
  <c r="P46" i="30"/>
  <c r="P45" i="30"/>
  <c r="M66" i="28"/>
  <c r="O66" i="28" s="1"/>
  <c r="Q76" i="30" l="1"/>
  <c r="Q75" i="30"/>
  <c r="Q74" i="30"/>
  <c r="Q40" i="31"/>
  <c r="Y47" i="30" l="1"/>
  <c r="P97" i="30"/>
  <c r="P96" i="30"/>
  <c r="N37" i="29"/>
  <c r="N241" i="28"/>
  <c r="N133" i="28"/>
  <c r="Q157" i="27" l="1"/>
  <c r="I18" i="62"/>
  <c r="H18" i="62"/>
  <c r="G18" i="62"/>
  <c r="F18" i="62"/>
  <c r="E18" i="62"/>
  <c r="Z18" i="62"/>
  <c r="Y18" i="62"/>
  <c r="M35" i="28"/>
  <c r="R172" i="28"/>
  <c r="Q176" i="28"/>
  <c r="R176" i="28"/>
  <c r="N170" i="28"/>
  <c r="T101" i="30"/>
  <c r="U101" i="30"/>
  <c r="Q96" i="30"/>
  <c r="T98" i="31"/>
  <c r="U98" i="31"/>
  <c r="U94" i="31"/>
  <c r="U93" i="31"/>
  <c r="Q93" i="31"/>
  <c r="Q33" i="27" l="1"/>
  <c r="N199" i="28" l="1"/>
  <c r="O21" i="28" l="1"/>
  <c r="W21" i="28" s="1"/>
  <c r="U21" i="28"/>
  <c r="X21" i="28"/>
  <c r="Y21" i="28"/>
  <c r="Z21" i="28"/>
  <c r="AA21" i="28"/>
  <c r="V21" i="28" l="1"/>
  <c r="X95" i="30"/>
  <c r="P125" i="30" l="1"/>
  <c r="P126" i="30"/>
  <c r="Q126" i="30"/>
  <c r="Q125" i="30"/>
  <c r="V181" i="28"/>
  <c r="V199" i="28" l="1"/>
  <c r="V198" i="28"/>
  <c r="V197" i="28" l="1"/>
  <c r="V172" i="28"/>
  <c r="M50" i="28" l="1"/>
  <c r="Z78" i="29" l="1"/>
  <c r="M22" i="62" l="1"/>
  <c r="H22" i="62"/>
  <c r="Q19" i="30" l="1"/>
  <c r="N10" i="41"/>
  <c r="N9" i="29"/>
  <c r="D9" i="29"/>
  <c r="E9" i="29" s="1"/>
  <c r="D71" i="28"/>
  <c r="N71" i="28"/>
  <c r="E67" i="28"/>
  <c r="D66" i="28"/>
  <c r="E66" i="28" s="1"/>
  <c r="D197" i="27"/>
  <c r="D209" i="27"/>
  <c r="R261" i="27"/>
  <c r="R262" i="27"/>
  <c r="R267" i="27"/>
  <c r="Q197" i="27"/>
  <c r="V159" i="27"/>
  <c r="D159" i="27"/>
  <c r="F159" i="27" s="1"/>
  <c r="Q159" i="27"/>
  <c r="Q160" i="27"/>
  <c r="D52" i="27"/>
  <c r="Q52" i="27"/>
  <c r="D25" i="27"/>
  <c r="Q25" i="27"/>
  <c r="D9" i="27"/>
  <c r="Y9" i="27" s="1"/>
  <c r="O9" i="29" l="1"/>
  <c r="E159" i="27"/>
  <c r="Q9" i="27" l="1"/>
  <c r="D90" i="49" l="1"/>
  <c r="D91" i="49"/>
  <c r="D93" i="49"/>
  <c r="L89" i="49"/>
  <c r="K89" i="49"/>
  <c r="J89" i="49"/>
  <c r="I89" i="49"/>
  <c r="Z108" i="54"/>
  <c r="S108" i="54"/>
  <c r="M88" i="63" s="1"/>
  <c r="O108" i="54"/>
  <c r="I108" i="54"/>
  <c r="E108" i="54"/>
  <c r="AA107" i="54"/>
  <c r="AA108" i="54" s="1"/>
  <c r="Y107" i="54"/>
  <c r="Y108" i="54" s="1"/>
  <c r="X107" i="54"/>
  <c r="X108" i="54" s="1"/>
  <c r="W107" i="54"/>
  <c r="W108" i="54" s="1"/>
  <c r="V107" i="54"/>
  <c r="U107" i="54"/>
  <c r="N47" i="54"/>
  <c r="Q20" i="31"/>
  <c r="I104" i="27"/>
  <c r="C249" i="27"/>
  <c r="E249" i="27" s="1"/>
  <c r="P239" i="27"/>
  <c r="C239" i="27"/>
  <c r="R229" i="27"/>
  <c r="D230" i="27"/>
  <c r="E222" i="27"/>
  <c r="E209" i="27"/>
  <c r="Q209" i="27"/>
  <c r="P117" i="27"/>
  <c r="Q104" i="27"/>
  <c r="Q105" i="27"/>
  <c r="V25" i="27"/>
  <c r="M88" i="49" l="1"/>
  <c r="E239" i="27"/>
  <c r="N263" i="28" l="1"/>
  <c r="N161" i="28" l="1"/>
  <c r="D161" i="28"/>
  <c r="C161" i="28"/>
  <c r="D151" i="28" l="1"/>
  <c r="O145" i="28"/>
  <c r="O146" i="28"/>
  <c r="O148" i="28"/>
  <c r="O150" i="28"/>
  <c r="N151" i="28"/>
  <c r="O151" i="28" l="1"/>
  <c r="E137" i="28"/>
  <c r="O137" i="28"/>
  <c r="D117" i="28"/>
  <c r="N117" i="28"/>
  <c r="D90" i="54"/>
  <c r="D83" i="54"/>
  <c r="D75" i="54"/>
  <c r="D40" i="54"/>
  <c r="N40" i="54"/>
  <c r="M13" i="54" l="1"/>
  <c r="N13" i="54"/>
  <c r="N76" i="29"/>
  <c r="N59" i="29"/>
  <c r="N49" i="29"/>
  <c r="Q124" i="30"/>
  <c r="Q65" i="30"/>
  <c r="Y65" i="30" s="1"/>
  <c r="P47" i="30"/>
  <c r="Q8" i="30"/>
  <c r="Q69" i="31"/>
  <c r="D40" i="31"/>
  <c r="E40" i="31" s="1"/>
  <c r="R40" i="31"/>
  <c r="Q27" i="31"/>
  <c r="R20" i="31"/>
  <c r="D20" i="31"/>
  <c r="C20" i="31"/>
  <c r="E20" i="31" s="1"/>
  <c r="R47" i="30" l="1"/>
  <c r="D9" i="31" l="1"/>
  <c r="Q9" i="31"/>
  <c r="N231" i="28"/>
  <c r="N51" i="28"/>
  <c r="N18" i="28"/>
  <c r="M195" i="28"/>
  <c r="M198" i="28"/>
  <c r="M197" i="28"/>
  <c r="P197" i="28" l="1"/>
  <c r="O18" i="28"/>
  <c r="O197" i="28"/>
  <c r="O198" i="28"/>
  <c r="P198" i="28"/>
  <c r="O53" i="28"/>
  <c r="O12" i="28"/>
  <c r="P5" i="30"/>
  <c r="I157" i="27" l="1"/>
  <c r="V161" i="27"/>
  <c r="V163" i="27"/>
  <c r="V160" i="27"/>
  <c r="V158" i="27"/>
  <c r="V157" i="27"/>
  <c r="V300" i="27"/>
  <c r="U154" i="27"/>
  <c r="Q154" i="27"/>
  <c r="P150" i="27"/>
  <c r="Q152" i="27"/>
  <c r="V152" i="27" s="1"/>
  <c r="U149" i="27"/>
  <c r="U150" i="27" s="1"/>
  <c r="V71" i="27"/>
  <c r="V70" i="27"/>
  <c r="V154" i="27" l="1"/>
  <c r="M208" i="28"/>
  <c r="M207" i="28"/>
  <c r="AA172" i="28"/>
  <c r="N8" i="28"/>
  <c r="X10" i="28"/>
  <c r="Y10" i="28"/>
  <c r="Z10" i="28"/>
  <c r="AA10" i="28"/>
  <c r="Q53" i="27"/>
  <c r="Q56" i="27"/>
  <c r="Q55" i="27"/>
  <c r="Q54" i="27"/>
  <c r="Q13" i="27"/>
  <c r="P12" i="27"/>
  <c r="P11" i="27"/>
  <c r="P9" i="27"/>
  <c r="P10" i="27" s="1"/>
  <c r="Q12" i="27"/>
  <c r="Q11" i="27"/>
  <c r="Q10" i="27"/>
  <c r="P6" i="27"/>
  <c r="E2" i="63" s="1"/>
  <c r="P27" i="27"/>
  <c r="J105" i="28" l="1"/>
  <c r="J103" i="28"/>
  <c r="J102" i="28"/>
  <c r="J94" i="28"/>
  <c r="J93" i="28"/>
  <c r="J48" i="28"/>
  <c r="J47" i="28"/>
  <c r="J39" i="28"/>
  <c r="J38" i="28"/>
  <c r="J36" i="28"/>
  <c r="J31" i="28"/>
  <c r="J30" i="28"/>
  <c r="L47" i="49" l="1"/>
  <c r="Q22" i="29"/>
  <c r="R22" i="29"/>
  <c r="S22" i="29"/>
  <c r="J35" i="49"/>
  <c r="H172" i="28"/>
  <c r="Z172" i="28" s="1"/>
  <c r="H171" i="28"/>
  <c r="H170" i="28"/>
  <c r="J41" i="49"/>
  <c r="J72" i="49"/>
  <c r="L72" i="49"/>
  <c r="N72" i="49"/>
  <c r="O72" i="49"/>
  <c r="M73" i="49" l="1"/>
  <c r="J47" i="49"/>
  <c r="D78" i="49" l="1"/>
  <c r="E78" i="49"/>
  <c r="E91" i="49"/>
  <c r="E90" i="49"/>
  <c r="S78" i="29"/>
  <c r="I78" i="29"/>
  <c r="AA75" i="29"/>
  <c r="Y75" i="29"/>
  <c r="N75" i="29"/>
  <c r="M75" i="29"/>
  <c r="U75" i="29" s="1"/>
  <c r="F75" i="29"/>
  <c r="E75" i="29"/>
  <c r="AA74" i="29"/>
  <c r="Y74" i="29"/>
  <c r="U74" i="29"/>
  <c r="N74" i="29"/>
  <c r="O74" i="29" s="1"/>
  <c r="F74" i="29"/>
  <c r="E74" i="29"/>
  <c r="AA73" i="29"/>
  <c r="Y73" i="29"/>
  <c r="U73" i="29"/>
  <c r="N73" i="29"/>
  <c r="V73" i="29" s="1"/>
  <c r="F73" i="29"/>
  <c r="E73" i="29"/>
  <c r="AA72" i="29"/>
  <c r="Y72" i="29"/>
  <c r="U72" i="29"/>
  <c r="P72" i="29"/>
  <c r="F72" i="29"/>
  <c r="E72" i="29"/>
  <c r="AA77" i="29"/>
  <c r="Y77" i="29"/>
  <c r="X77" i="29"/>
  <c r="U77" i="29"/>
  <c r="N77" i="29"/>
  <c r="V77" i="29" s="1"/>
  <c r="AA76" i="29"/>
  <c r="Y76" i="29"/>
  <c r="X76" i="29"/>
  <c r="U76" i="29"/>
  <c r="O76" i="29"/>
  <c r="W76" i="29" s="1"/>
  <c r="AA78" i="29" l="1"/>
  <c r="Y78" i="29"/>
  <c r="V76" i="29"/>
  <c r="E78" i="29"/>
  <c r="O77" i="29"/>
  <c r="W77" i="29" s="1"/>
  <c r="O73" i="29"/>
  <c r="W73" i="29" s="1"/>
  <c r="O75" i="29"/>
  <c r="W75" i="29" s="1"/>
  <c r="F78" i="29"/>
  <c r="W74" i="29"/>
  <c r="X72" i="29"/>
  <c r="V72" i="29"/>
  <c r="P74" i="29"/>
  <c r="X74" i="29" s="1"/>
  <c r="P75" i="29"/>
  <c r="X75" i="29" s="1"/>
  <c r="O72" i="29"/>
  <c r="P73" i="29"/>
  <c r="X73" i="29" s="1"/>
  <c r="V74" i="29"/>
  <c r="V75" i="29"/>
  <c r="O78" i="29" l="1"/>
  <c r="X78" i="29"/>
  <c r="P78" i="29"/>
  <c r="F90" i="49"/>
  <c r="W72" i="29"/>
  <c r="W78" i="29" s="1"/>
  <c r="F91" i="63" l="1"/>
  <c r="F78" i="63"/>
  <c r="G78" i="49"/>
  <c r="G78" i="63"/>
  <c r="I90" i="49"/>
  <c r="F91" i="49"/>
  <c r="F78" i="49"/>
  <c r="P50" i="27"/>
  <c r="M274" i="28"/>
  <c r="M276" i="28"/>
  <c r="I78" i="63" l="1"/>
  <c r="I91" i="63"/>
  <c r="I91" i="49"/>
  <c r="I78" i="49"/>
  <c r="P55" i="27"/>
  <c r="R55" i="27" s="1"/>
  <c r="P56" i="27"/>
  <c r="P53" i="27"/>
  <c r="P52" i="27"/>
  <c r="P54" i="27"/>
  <c r="P48" i="27"/>
  <c r="F92" i="49"/>
  <c r="R142" i="27"/>
  <c r="M11" i="41"/>
  <c r="M8" i="41"/>
  <c r="O8" i="41" s="1"/>
  <c r="M9" i="41"/>
  <c r="O9" i="41" s="1"/>
  <c r="O7" i="41"/>
  <c r="O10" i="41"/>
  <c r="O11" i="41"/>
  <c r="O6" i="41"/>
  <c r="P84" i="31"/>
  <c r="Q84" i="31"/>
  <c r="M7" i="41"/>
  <c r="M6" i="41"/>
  <c r="D70" i="49"/>
  <c r="D59" i="49"/>
  <c r="R115" i="30"/>
  <c r="Z115" i="30" s="1"/>
  <c r="R103" i="31"/>
  <c r="I80" i="63" l="1"/>
  <c r="I92" i="49"/>
  <c r="O12" i="41"/>
  <c r="F93" i="63" s="1"/>
  <c r="I93" i="63" l="1"/>
  <c r="I94" i="63" s="1"/>
  <c r="F94" i="63"/>
  <c r="E23" i="49"/>
  <c r="P307" i="27"/>
  <c r="R307" i="27" s="1"/>
  <c r="Z307" i="27" s="1"/>
  <c r="Z308" i="27" s="1"/>
  <c r="P306" i="27"/>
  <c r="R306" i="27" s="1"/>
  <c r="V308" i="27"/>
  <c r="I308" i="27"/>
  <c r="AD307" i="27"/>
  <c r="AD308" i="27" s="1"/>
  <c r="AC307" i="27"/>
  <c r="AC308" i="27" s="1"/>
  <c r="AB307" i="27"/>
  <c r="AB308" i="27" s="1"/>
  <c r="AA307" i="27"/>
  <c r="AA308" i="27" s="1"/>
  <c r="Y307" i="27"/>
  <c r="X307" i="27" l="1"/>
  <c r="R308" i="27"/>
  <c r="F23" i="49" l="1"/>
  <c r="E44" i="49"/>
  <c r="N274" i="28"/>
  <c r="Y29" i="27"/>
  <c r="AA29" i="27"/>
  <c r="X30" i="27"/>
  <c r="Z30" i="27"/>
  <c r="AA30" i="27"/>
  <c r="X31" i="27"/>
  <c r="Y31" i="27"/>
  <c r="Z31" i="27"/>
  <c r="AA31" i="27"/>
  <c r="X32" i="27"/>
  <c r="Y32" i="27"/>
  <c r="Z32" i="27"/>
  <c r="AA32" i="27"/>
  <c r="Y33" i="27"/>
  <c r="AA33" i="27"/>
  <c r="Y34" i="27"/>
  <c r="AA34" i="27"/>
  <c r="Y35" i="27"/>
  <c r="AA35" i="27"/>
  <c r="AA36" i="27"/>
  <c r="Y37" i="27"/>
  <c r="AA37" i="27"/>
  <c r="Y38" i="27"/>
  <c r="AA38" i="27"/>
  <c r="Q36" i="27"/>
  <c r="Y36" i="27" s="1"/>
  <c r="T39" i="27"/>
  <c r="U39" i="27"/>
  <c r="P38" i="27"/>
  <c r="X38" i="27" s="1"/>
  <c r="P37" i="27"/>
  <c r="X37" i="27" s="1"/>
  <c r="P36" i="27"/>
  <c r="X36" i="27" s="1"/>
  <c r="C22" i="62"/>
  <c r="R22" i="62"/>
  <c r="R15" i="62"/>
  <c r="P16" i="62"/>
  <c r="O16" i="62"/>
  <c r="S15" i="62"/>
  <c r="P15" i="62"/>
  <c r="O15" i="62"/>
  <c r="J61" i="49"/>
  <c r="L61" i="49"/>
  <c r="E58" i="49"/>
  <c r="G58" i="49"/>
  <c r="D58" i="49"/>
  <c r="P127" i="30"/>
  <c r="P124" i="30"/>
  <c r="P123" i="30"/>
  <c r="R24" i="63" l="1"/>
  <c r="R16" i="62"/>
  <c r="S16" i="62" s="1"/>
  <c r="I23" i="49"/>
  <c r="H24" i="49"/>
  <c r="L24" i="49"/>
  <c r="M24" i="49"/>
  <c r="Z4" i="62" l="1"/>
  <c r="AA4" i="62"/>
  <c r="Z7" i="62"/>
  <c r="AA7" i="62"/>
  <c r="Z10" i="62"/>
  <c r="AA10" i="62"/>
  <c r="Z11" i="62"/>
  <c r="AA11" i="62"/>
  <c r="AA12" i="62"/>
  <c r="Z14" i="62"/>
  <c r="AA14" i="62"/>
  <c r="Z15" i="62"/>
  <c r="AA15" i="62"/>
  <c r="Z16" i="62"/>
  <c r="AA16" i="62"/>
  <c r="Z17" i="62"/>
  <c r="AA17" i="62"/>
  <c r="U5" i="62"/>
  <c r="V5" i="62"/>
  <c r="X5" i="62"/>
  <c r="X18" i="62" s="1"/>
  <c r="U6" i="62"/>
  <c r="V6" i="62"/>
  <c r="W6" i="62"/>
  <c r="X6" i="62"/>
  <c r="U7" i="62"/>
  <c r="V7" i="62"/>
  <c r="W7" i="62"/>
  <c r="X7" i="62"/>
  <c r="U8" i="62"/>
  <c r="V8" i="62"/>
  <c r="W8" i="62"/>
  <c r="X8" i="62"/>
  <c r="U9" i="62"/>
  <c r="V9" i="62"/>
  <c r="W9" i="62"/>
  <c r="X9" i="62"/>
  <c r="U10" i="62"/>
  <c r="V10" i="62"/>
  <c r="W10" i="62"/>
  <c r="X10" i="62"/>
  <c r="U11" i="62"/>
  <c r="V11" i="62"/>
  <c r="W11" i="62"/>
  <c r="X11" i="62"/>
  <c r="U12" i="62"/>
  <c r="V12" i="62"/>
  <c r="W12" i="62"/>
  <c r="X12" i="62"/>
  <c r="U13" i="62"/>
  <c r="V13" i="62"/>
  <c r="W13" i="62"/>
  <c r="X13" i="62"/>
  <c r="U14" i="62"/>
  <c r="V14" i="62"/>
  <c r="W14" i="62"/>
  <c r="X14" i="62"/>
  <c r="U15" i="62"/>
  <c r="V15" i="62"/>
  <c r="W15" i="62"/>
  <c r="X15" i="62"/>
  <c r="U16" i="62"/>
  <c r="V16" i="62"/>
  <c r="W16" i="62"/>
  <c r="X16" i="62"/>
  <c r="U17" i="62"/>
  <c r="V17" i="62"/>
  <c r="W17" i="62"/>
  <c r="X17" i="62"/>
  <c r="V4" i="62"/>
  <c r="W4" i="62"/>
  <c r="X4" i="62"/>
  <c r="U4" i="62"/>
  <c r="H16" i="62"/>
  <c r="I16" i="62" s="1"/>
  <c r="H15" i="62"/>
  <c r="F16" i="62"/>
  <c r="E16" i="62"/>
  <c r="F15" i="62"/>
  <c r="E15" i="62"/>
  <c r="I15" i="62"/>
  <c r="I10" i="62"/>
  <c r="E10" i="62"/>
  <c r="F10" i="62"/>
  <c r="H6" i="62"/>
  <c r="H5" i="62"/>
  <c r="H8" i="62"/>
  <c r="H9" i="62"/>
  <c r="I9" i="62" s="1"/>
  <c r="C6" i="62"/>
  <c r="F6" i="62" s="1"/>
  <c r="C5" i="62"/>
  <c r="C12" i="62"/>
  <c r="F12" i="62" s="1"/>
  <c r="C9" i="62"/>
  <c r="F9" i="62" s="1"/>
  <c r="C8" i="62"/>
  <c r="H13" i="62"/>
  <c r="H12" i="62"/>
  <c r="I5" i="62"/>
  <c r="I12" i="62"/>
  <c r="I13" i="62"/>
  <c r="F13" i="62"/>
  <c r="E13" i="62"/>
  <c r="E9" i="62"/>
  <c r="I8" i="62"/>
  <c r="F8" i="62"/>
  <c r="I6" i="62"/>
  <c r="E6" i="62"/>
  <c r="F5" i="62"/>
  <c r="E5" i="62"/>
  <c r="R13" i="62"/>
  <c r="S13" i="62" s="1"/>
  <c r="AA13" i="62" s="1"/>
  <c r="O13" i="62"/>
  <c r="M13" i="62"/>
  <c r="P13" i="62" s="1"/>
  <c r="R12" i="62"/>
  <c r="S12" i="62" s="1"/>
  <c r="P12" i="62"/>
  <c r="M12" i="62"/>
  <c r="O12" i="62" s="1"/>
  <c r="R9" i="62"/>
  <c r="S9" i="62" s="1"/>
  <c r="AA9" i="62" s="1"/>
  <c r="M9" i="62"/>
  <c r="O9" i="62" s="1"/>
  <c r="S8" i="62"/>
  <c r="AA8" i="62" s="1"/>
  <c r="R8" i="62"/>
  <c r="Z8" i="62" s="1"/>
  <c r="M8" i="62"/>
  <c r="P8" i="62" s="1"/>
  <c r="R6" i="62"/>
  <c r="S6" i="62" s="1"/>
  <c r="AA6" i="62" s="1"/>
  <c r="P6" i="62"/>
  <c r="O6" i="62"/>
  <c r="M6" i="62"/>
  <c r="R5" i="62"/>
  <c r="S5" i="62" s="1"/>
  <c r="P5" i="62"/>
  <c r="P18" i="62" s="1"/>
  <c r="G96" i="63" s="1"/>
  <c r="Q96" i="63" s="1"/>
  <c r="M5" i="62"/>
  <c r="O5" i="62" s="1"/>
  <c r="O18" i="62" s="1"/>
  <c r="F96" i="63" s="1"/>
  <c r="AS7" i="62"/>
  <c r="AZ6" i="62"/>
  <c r="AN6" i="62"/>
  <c r="AM6" i="62"/>
  <c r="AA5" i="62" l="1"/>
  <c r="AA18" i="62" s="1"/>
  <c r="S18" i="62"/>
  <c r="P96" i="63"/>
  <c r="I96" i="63"/>
  <c r="W5" i="62"/>
  <c r="W18" i="62" s="1"/>
  <c r="F96" i="49"/>
  <c r="I96" i="49" s="1"/>
  <c r="G96" i="49"/>
  <c r="Z13" i="62"/>
  <c r="Z12" i="62"/>
  <c r="Z9" i="62"/>
  <c r="Z6" i="62"/>
  <c r="Z5" i="62"/>
  <c r="E12" i="62"/>
  <c r="AL5" i="62"/>
  <c r="E8" i="62"/>
  <c r="BA8" i="62" s="1"/>
  <c r="P9" i="62"/>
  <c r="O8" i="62"/>
  <c r="K96" i="63" l="1"/>
  <c r="R96" i="63" s="1"/>
  <c r="K96" i="49"/>
  <c r="AD107" i="30"/>
  <c r="AC107" i="30"/>
  <c r="AA107" i="30"/>
  <c r="Q107" i="30"/>
  <c r="P107" i="30"/>
  <c r="AD106" i="30"/>
  <c r="AC106" i="30"/>
  <c r="AA106" i="30"/>
  <c r="Q106" i="30"/>
  <c r="P106" i="30"/>
  <c r="AD105" i="30"/>
  <c r="AC105" i="30"/>
  <c r="AA105" i="30"/>
  <c r="X105" i="30"/>
  <c r="Q105" i="30"/>
  <c r="P18" i="30"/>
  <c r="E49" i="63" s="1"/>
  <c r="X106" i="30" l="1"/>
  <c r="R107" i="30"/>
  <c r="R105" i="30"/>
  <c r="R106" i="30"/>
  <c r="X107" i="30"/>
  <c r="Y105" i="30"/>
  <c r="Y106" i="30"/>
  <c r="Y107" i="30"/>
  <c r="Z105" i="30" l="1"/>
  <c r="R108" i="30"/>
  <c r="F58" i="63" s="1"/>
  <c r="I58" i="63" s="1"/>
  <c r="Z107" i="30"/>
  <c r="Z106" i="30"/>
  <c r="Z108" i="30" l="1"/>
  <c r="F58" i="49"/>
  <c r="I58" i="49" l="1"/>
  <c r="M162" i="28" l="1"/>
  <c r="M161" i="28"/>
  <c r="E87" i="49"/>
  <c r="E83" i="49"/>
  <c r="E82" i="49"/>
  <c r="E81" i="49"/>
  <c r="U262" i="27" l="1"/>
  <c r="P195" i="27"/>
  <c r="P183" i="27"/>
  <c r="P184" i="27"/>
  <c r="P185" i="27"/>
  <c r="R86" i="27"/>
  <c r="Q85" i="27"/>
  <c r="R85" i="27" s="1"/>
  <c r="P28" i="27"/>
  <c r="P26" i="27"/>
  <c r="R26" i="27" s="1"/>
  <c r="R27" i="27"/>
  <c r="P25" i="27"/>
  <c r="R25" i="27" s="1"/>
  <c r="S14" i="27"/>
  <c r="N8" i="41"/>
  <c r="N7" i="41"/>
  <c r="I17" i="41"/>
  <c r="H17" i="41"/>
  <c r="G17" i="41"/>
  <c r="F17" i="41"/>
  <c r="E17" i="41"/>
  <c r="AA17" i="41"/>
  <c r="Z17" i="41"/>
  <c r="Y17" i="41"/>
  <c r="X17" i="41"/>
  <c r="P17" i="41"/>
  <c r="Q17" i="41"/>
  <c r="R17" i="41"/>
  <c r="S17" i="41"/>
  <c r="J60" i="29"/>
  <c r="M233" i="28"/>
  <c r="M234" i="28"/>
  <c r="P235" i="28"/>
  <c r="N195" i="28"/>
  <c r="V195" i="28" s="1"/>
  <c r="N196" i="28"/>
  <c r="V196" i="28" s="1"/>
  <c r="M182" i="28"/>
  <c r="M180" i="28"/>
  <c r="N103" i="28"/>
  <c r="O103" i="28" s="1"/>
  <c r="N34" i="28"/>
  <c r="O20" i="28"/>
  <c r="Q89" i="30"/>
  <c r="P85" i="30"/>
  <c r="Q85" i="30"/>
  <c r="G2" i="63" l="1"/>
  <c r="M58" i="54" l="1"/>
  <c r="M102" i="54" l="1"/>
  <c r="M101" i="54"/>
  <c r="AC109" i="31" l="1"/>
  <c r="AA109" i="31"/>
  <c r="Z109" i="31"/>
  <c r="Z110" i="31" s="1"/>
  <c r="Y109" i="31"/>
  <c r="X109" i="31"/>
  <c r="AD102" i="31"/>
  <c r="AC102" i="31"/>
  <c r="AA102" i="31"/>
  <c r="X102" i="31"/>
  <c r="AD101" i="31"/>
  <c r="AC101" i="31"/>
  <c r="AA101" i="31"/>
  <c r="X101" i="31"/>
  <c r="C10" i="28"/>
  <c r="H21" i="56"/>
  <c r="I76" i="56"/>
  <c r="K76" i="56"/>
  <c r="L76" i="56"/>
  <c r="L78" i="56" s="1"/>
  <c r="M76" i="56"/>
  <c r="I78" i="56"/>
  <c r="K78" i="56"/>
  <c r="M78" i="56"/>
  <c r="N78" i="56"/>
  <c r="O78" i="56"/>
  <c r="F75" i="56"/>
  <c r="F74" i="56"/>
  <c r="F73" i="56"/>
  <c r="F72" i="56"/>
  <c r="G71" i="56"/>
  <c r="F71" i="56"/>
  <c r="F70" i="56"/>
  <c r="G70" i="56"/>
  <c r="K89" i="56"/>
  <c r="J69" i="56"/>
  <c r="L68" i="56"/>
  <c r="K68" i="56"/>
  <c r="J66" i="56"/>
  <c r="I68" i="56"/>
  <c r="J65" i="56"/>
  <c r="K61" i="56"/>
  <c r="K60" i="56"/>
  <c r="K59" i="56"/>
  <c r="K58" i="56"/>
  <c r="J57" i="56"/>
  <c r="J56" i="56"/>
  <c r="J55" i="56"/>
  <c r="J63" i="56" s="1"/>
  <c r="M63" i="56"/>
  <c r="K54" i="56"/>
  <c r="K51" i="56"/>
  <c r="J50" i="56"/>
  <c r="K49" i="56"/>
  <c r="K48" i="56"/>
  <c r="J47" i="56"/>
  <c r="L53" i="56"/>
  <c r="K46" i="56"/>
  <c r="M53" i="56"/>
  <c r="J45" i="56"/>
  <c r="J44" i="56"/>
  <c r="K43" i="56"/>
  <c r="K40" i="56"/>
  <c r="K39" i="56"/>
  <c r="K38" i="56"/>
  <c r="K37" i="56"/>
  <c r="K36" i="56"/>
  <c r="K35" i="56"/>
  <c r="K34" i="56"/>
  <c r="K33" i="56"/>
  <c r="K32" i="56"/>
  <c r="J31" i="56"/>
  <c r="J30" i="56"/>
  <c r="J29" i="56"/>
  <c r="J28" i="56"/>
  <c r="K27" i="56"/>
  <c r="K26" i="56"/>
  <c r="J25" i="56"/>
  <c r="K24" i="56"/>
  <c r="O21" i="56"/>
  <c r="N21" i="56"/>
  <c r="M21" i="56"/>
  <c r="J21" i="56"/>
  <c r="K20" i="56"/>
  <c r="K19" i="56"/>
  <c r="K18" i="56"/>
  <c r="K17" i="56"/>
  <c r="K16" i="56"/>
  <c r="K15" i="56"/>
  <c r="K14" i="56"/>
  <c r="K13" i="56"/>
  <c r="K12" i="56"/>
  <c r="K11" i="56"/>
  <c r="K10" i="56"/>
  <c r="K9" i="56"/>
  <c r="K8" i="56"/>
  <c r="K7" i="56"/>
  <c r="K6" i="56"/>
  <c r="K5" i="56"/>
  <c r="K4" i="56"/>
  <c r="K3" i="56"/>
  <c r="I42" i="56" l="1"/>
  <c r="M42" i="56"/>
  <c r="L21" i="56"/>
  <c r="M68" i="56"/>
  <c r="L42" i="56"/>
  <c r="H68" i="56"/>
  <c r="I53" i="56"/>
  <c r="L63" i="56"/>
  <c r="K63" i="56"/>
  <c r="I21" i="56"/>
  <c r="K53" i="56"/>
  <c r="H63" i="56"/>
  <c r="I63" i="56"/>
  <c r="J64" i="56"/>
  <c r="J68" i="56" s="1"/>
  <c r="J53" i="56"/>
  <c r="K2" i="56"/>
  <c r="K21" i="56" s="1"/>
  <c r="H53" i="56"/>
  <c r="Q81" i="56" l="1"/>
  <c r="I79" i="56"/>
  <c r="K22" i="56"/>
  <c r="K42" i="56" s="1"/>
  <c r="Y103" i="54" l="1"/>
  <c r="I103" i="54"/>
  <c r="H103" i="54"/>
  <c r="G103" i="54"/>
  <c r="F103" i="54"/>
  <c r="AA102" i="54"/>
  <c r="Z102" i="54"/>
  <c r="X102" i="54"/>
  <c r="U102" i="54"/>
  <c r="N102" i="54"/>
  <c r="O102" i="54" s="1"/>
  <c r="E102" i="54"/>
  <c r="AA101" i="54"/>
  <c r="Z101" i="54"/>
  <c r="X101" i="54"/>
  <c r="U101" i="54"/>
  <c r="N101" i="54"/>
  <c r="E101" i="54"/>
  <c r="AA100" i="54"/>
  <c r="Z100" i="54"/>
  <c r="X100" i="54"/>
  <c r="U100" i="54"/>
  <c r="E100" i="54"/>
  <c r="AA99" i="54"/>
  <c r="Z99" i="54"/>
  <c r="X99" i="54"/>
  <c r="V99" i="54"/>
  <c r="U99" i="54"/>
  <c r="O99" i="54"/>
  <c r="E99" i="54"/>
  <c r="AA98" i="54"/>
  <c r="Z98" i="54"/>
  <c r="X98" i="54"/>
  <c r="V98" i="54"/>
  <c r="U98" i="54"/>
  <c r="O98" i="54"/>
  <c r="E98" i="54"/>
  <c r="AA97" i="54"/>
  <c r="Z97" i="54"/>
  <c r="X97" i="54"/>
  <c r="U97" i="54"/>
  <c r="E97" i="54"/>
  <c r="Y92" i="54"/>
  <c r="S92" i="54"/>
  <c r="R92" i="54"/>
  <c r="Q92" i="54"/>
  <c r="P92" i="54"/>
  <c r="I92" i="54"/>
  <c r="H92" i="54"/>
  <c r="G92" i="54"/>
  <c r="F92" i="54"/>
  <c r="AA91" i="54"/>
  <c r="Z91" i="54"/>
  <c r="X91" i="54"/>
  <c r="U91" i="54"/>
  <c r="N91" i="54"/>
  <c r="V91" i="54" s="1"/>
  <c r="E91" i="54"/>
  <c r="AA90" i="54"/>
  <c r="Z90" i="54"/>
  <c r="X90" i="54"/>
  <c r="U90" i="54"/>
  <c r="E90" i="54"/>
  <c r="Y85" i="54"/>
  <c r="S85" i="54"/>
  <c r="R85" i="54"/>
  <c r="Q85" i="54"/>
  <c r="P85" i="54"/>
  <c r="I85" i="54"/>
  <c r="H85" i="54"/>
  <c r="G85" i="54"/>
  <c r="F85" i="54"/>
  <c r="AA84" i="54"/>
  <c r="Z84" i="54"/>
  <c r="X84" i="54"/>
  <c r="U84" i="54"/>
  <c r="N84" i="54"/>
  <c r="V84" i="54" s="1"/>
  <c r="E84" i="54"/>
  <c r="AA83" i="54"/>
  <c r="Z83" i="54"/>
  <c r="X83" i="54"/>
  <c r="U83" i="54"/>
  <c r="Y77" i="54"/>
  <c r="S77" i="54"/>
  <c r="R77" i="54"/>
  <c r="Q77" i="54"/>
  <c r="P77" i="54"/>
  <c r="I77" i="54"/>
  <c r="H77" i="54"/>
  <c r="G77" i="54"/>
  <c r="F77" i="54"/>
  <c r="AA76" i="54"/>
  <c r="Z76" i="54"/>
  <c r="X76" i="54"/>
  <c r="U76" i="54"/>
  <c r="N76" i="54"/>
  <c r="V76" i="54" s="1"/>
  <c r="E76" i="54"/>
  <c r="AA75" i="54"/>
  <c r="Z75" i="54"/>
  <c r="X75" i="54"/>
  <c r="U75" i="54"/>
  <c r="E75" i="54"/>
  <c r="Y69" i="54"/>
  <c r="S69" i="54"/>
  <c r="R69" i="54"/>
  <c r="Q69" i="54"/>
  <c r="P69" i="54"/>
  <c r="O69" i="54"/>
  <c r="I69" i="54"/>
  <c r="H69" i="54"/>
  <c r="G69" i="54"/>
  <c r="F69" i="54"/>
  <c r="AA68" i="54"/>
  <c r="Z68" i="54"/>
  <c r="X68" i="54"/>
  <c r="V68" i="54"/>
  <c r="U68" i="54"/>
  <c r="E68" i="54"/>
  <c r="W68" i="54" s="1"/>
  <c r="AA67" i="54"/>
  <c r="Z67" i="54"/>
  <c r="X67" i="54"/>
  <c r="V67" i="54"/>
  <c r="U67" i="54"/>
  <c r="E67" i="54"/>
  <c r="W67" i="54" s="1"/>
  <c r="AA66" i="54"/>
  <c r="Z66" i="54"/>
  <c r="X66" i="54"/>
  <c r="V66" i="54"/>
  <c r="U66" i="54"/>
  <c r="E66" i="54"/>
  <c r="W66" i="54" s="1"/>
  <c r="AA65" i="54"/>
  <c r="Z65" i="54"/>
  <c r="X65" i="54"/>
  <c r="V65" i="54"/>
  <c r="U65" i="54"/>
  <c r="E65" i="54"/>
  <c r="W65" i="54" s="1"/>
  <c r="AA64" i="54"/>
  <c r="Z64" i="54"/>
  <c r="X64" i="54"/>
  <c r="W64" i="54"/>
  <c r="V64" i="54"/>
  <c r="U64" i="54"/>
  <c r="S59" i="54"/>
  <c r="R59" i="54"/>
  <c r="Q59" i="54"/>
  <c r="I59" i="54"/>
  <c r="H59" i="54"/>
  <c r="G59" i="54"/>
  <c r="F59" i="54"/>
  <c r="E59" i="54"/>
  <c r="AA58" i="54"/>
  <c r="Z58" i="54"/>
  <c r="Y58" i="54"/>
  <c r="X58" i="54"/>
  <c r="U58" i="54"/>
  <c r="N58" i="54"/>
  <c r="V58" i="54" s="1"/>
  <c r="AA57" i="54"/>
  <c r="Z57" i="54"/>
  <c r="Y57" i="54"/>
  <c r="U57" i="54"/>
  <c r="N57" i="54"/>
  <c r="V57" i="54" s="1"/>
  <c r="AA56" i="54"/>
  <c r="Z56" i="54"/>
  <c r="Y56" i="54"/>
  <c r="U56" i="54"/>
  <c r="X56" i="54"/>
  <c r="N56" i="54"/>
  <c r="O56" i="54" s="1"/>
  <c r="AA55" i="54"/>
  <c r="Z55" i="54"/>
  <c r="Y55" i="54"/>
  <c r="X55" i="54"/>
  <c r="W55" i="54"/>
  <c r="V55" i="54"/>
  <c r="U55" i="54"/>
  <c r="Y49" i="54"/>
  <c r="S49" i="54"/>
  <c r="R49" i="54"/>
  <c r="Q49" i="54"/>
  <c r="I49" i="54"/>
  <c r="H49" i="54"/>
  <c r="G49" i="54"/>
  <c r="F49" i="54"/>
  <c r="AA10" i="54"/>
  <c r="Z10" i="54"/>
  <c r="U10" i="54"/>
  <c r="X10" i="54"/>
  <c r="N10" i="54"/>
  <c r="AA48" i="54"/>
  <c r="Z48" i="54"/>
  <c r="U48" i="54"/>
  <c r="V48" i="54"/>
  <c r="AA47" i="54"/>
  <c r="Z47" i="54"/>
  <c r="U47" i="54"/>
  <c r="V47" i="54"/>
  <c r="E47" i="54"/>
  <c r="E49" i="54" s="1"/>
  <c r="AA46" i="54"/>
  <c r="Z46" i="54"/>
  <c r="X46" i="54"/>
  <c r="W46" i="54"/>
  <c r="V46" i="54"/>
  <c r="U46" i="54"/>
  <c r="Y41" i="54"/>
  <c r="S41" i="54"/>
  <c r="R41" i="54"/>
  <c r="Q41" i="54"/>
  <c r="P41" i="54"/>
  <c r="I41" i="54"/>
  <c r="H41" i="54"/>
  <c r="G41" i="54"/>
  <c r="F41" i="54"/>
  <c r="AA40" i="54"/>
  <c r="Z40" i="54"/>
  <c r="X40" i="54"/>
  <c r="M40" i="54"/>
  <c r="AA39" i="54"/>
  <c r="Z39" i="54"/>
  <c r="X39" i="54"/>
  <c r="W39" i="54"/>
  <c r="V39" i="54"/>
  <c r="U39" i="54"/>
  <c r="AA38" i="54"/>
  <c r="Z38" i="54"/>
  <c r="X38" i="54"/>
  <c r="W38" i="54"/>
  <c r="V38" i="54"/>
  <c r="U38" i="54"/>
  <c r="Y33" i="54"/>
  <c r="S33" i="54"/>
  <c r="R33" i="54"/>
  <c r="Q33" i="54"/>
  <c r="P33" i="54"/>
  <c r="O33" i="54"/>
  <c r="I33" i="54"/>
  <c r="H33" i="54"/>
  <c r="G33" i="54"/>
  <c r="F33" i="54"/>
  <c r="AA32" i="54"/>
  <c r="Z32" i="54"/>
  <c r="X32" i="54"/>
  <c r="V32" i="54"/>
  <c r="U32" i="54"/>
  <c r="E32" i="54"/>
  <c r="W32" i="54" s="1"/>
  <c r="AA31" i="54"/>
  <c r="Z31" i="54"/>
  <c r="X31" i="54"/>
  <c r="V31" i="54"/>
  <c r="U31" i="54"/>
  <c r="E31" i="54"/>
  <c r="W31" i="54" s="1"/>
  <c r="AA30" i="54"/>
  <c r="Z30" i="54"/>
  <c r="X30" i="54"/>
  <c r="V30" i="54"/>
  <c r="U30" i="54"/>
  <c r="E30" i="54"/>
  <c r="W30" i="54" s="1"/>
  <c r="AA29" i="54"/>
  <c r="Z29" i="54"/>
  <c r="X29" i="54"/>
  <c r="V29" i="54"/>
  <c r="U29" i="54"/>
  <c r="E29" i="54"/>
  <c r="W29" i="54" s="1"/>
  <c r="AA28" i="54"/>
  <c r="Z28" i="54"/>
  <c r="X28" i="54"/>
  <c r="W28" i="54"/>
  <c r="V28" i="54"/>
  <c r="U28" i="54"/>
  <c r="AA27" i="54"/>
  <c r="Z27" i="54"/>
  <c r="X27" i="54"/>
  <c r="V27" i="54"/>
  <c r="U27" i="54"/>
  <c r="E27" i="54"/>
  <c r="W27" i="54" s="1"/>
  <c r="P22" i="54"/>
  <c r="F22" i="54"/>
  <c r="E22" i="54"/>
  <c r="AA21" i="54"/>
  <c r="Z21" i="54"/>
  <c r="Y21" i="54"/>
  <c r="X21" i="54"/>
  <c r="U21" i="54"/>
  <c r="N21" i="54"/>
  <c r="V21" i="54" s="1"/>
  <c r="AA20" i="54"/>
  <c r="Z20" i="54"/>
  <c r="Y20" i="54"/>
  <c r="X20" i="54"/>
  <c r="V20" i="54"/>
  <c r="U20" i="54"/>
  <c r="O20" i="54"/>
  <c r="W20" i="54" s="1"/>
  <c r="AA19" i="54"/>
  <c r="Z19" i="54"/>
  <c r="Y19" i="54"/>
  <c r="X19" i="54"/>
  <c r="U19" i="54"/>
  <c r="N19" i="54"/>
  <c r="V19" i="54" s="1"/>
  <c r="AA18" i="54"/>
  <c r="Z18" i="54"/>
  <c r="Y18" i="54"/>
  <c r="X18" i="54"/>
  <c r="U18" i="54"/>
  <c r="N18" i="54"/>
  <c r="O18" i="54" s="1"/>
  <c r="W18" i="54" s="1"/>
  <c r="AA17" i="54"/>
  <c r="Z17" i="54"/>
  <c r="Y17" i="54"/>
  <c r="X17" i="54"/>
  <c r="W17" i="54"/>
  <c r="V17" i="54"/>
  <c r="AA16" i="54"/>
  <c r="Z16" i="54"/>
  <c r="Y16" i="54"/>
  <c r="X16" i="54"/>
  <c r="N16" i="54"/>
  <c r="M16" i="54"/>
  <c r="U16" i="54" s="1"/>
  <c r="AA15" i="54"/>
  <c r="Z15" i="54"/>
  <c r="Y15" i="54"/>
  <c r="X15" i="54"/>
  <c r="N15" i="54"/>
  <c r="V15" i="54" s="1"/>
  <c r="M15" i="54"/>
  <c r="U15" i="54" s="1"/>
  <c r="AA14" i="54"/>
  <c r="Z14" i="54"/>
  <c r="Y14" i="54"/>
  <c r="X14" i="54"/>
  <c r="N14" i="54"/>
  <c r="M14" i="54"/>
  <c r="U14" i="54" s="1"/>
  <c r="AA13" i="54"/>
  <c r="Z13" i="54"/>
  <c r="Y13" i="54"/>
  <c r="X13" i="54"/>
  <c r="V13" i="54"/>
  <c r="U13" i="54"/>
  <c r="AA12" i="54"/>
  <c r="Z12" i="54"/>
  <c r="Y12" i="54"/>
  <c r="X12" i="54"/>
  <c r="W12" i="54"/>
  <c r="V12" i="54"/>
  <c r="U12" i="54"/>
  <c r="AA11" i="54"/>
  <c r="Z11" i="54"/>
  <c r="Y11" i="54"/>
  <c r="X11" i="54"/>
  <c r="W11" i="54"/>
  <c r="V11" i="54"/>
  <c r="U11" i="54"/>
  <c r="AA9" i="54"/>
  <c r="Z9" i="54"/>
  <c r="Y9" i="54"/>
  <c r="X9" i="54"/>
  <c r="N9" i="54"/>
  <c r="V9" i="54" s="1"/>
  <c r="M9" i="54"/>
  <c r="AA4" i="54"/>
  <c r="Z4" i="54"/>
  <c r="Y4" i="54"/>
  <c r="X4" i="54"/>
  <c r="W4" i="54"/>
  <c r="U4" i="54"/>
  <c r="U40" i="54" l="1"/>
  <c r="O40" i="54"/>
  <c r="S110" i="54"/>
  <c r="V101" i="54"/>
  <c r="O101" i="54"/>
  <c r="Q110" i="54"/>
  <c r="G110" i="54"/>
  <c r="I110" i="54"/>
  <c r="M83" i="63"/>
  <c r="M89" i="63" s="1"/>
  <c r="M83" i="49"/>
  <c r="G85" i="49"/>
  <c r="G85" i="63"/>
  <c r="G86" i="63"/>
  <c r="G86" i="49"/>
  <c r="G87" i="63"/>
  <c r="G87" i="49"/>
  <c r="F110" i="54"/>
  <c r="G82" i="63"/>
  <c r="G82" i="49"/>
  <c r="G84" i="49"/>
  <c r="G84" i="63"/>
  <c r="G81" i="49"/>
  <c r="G81" i="63"/>
  <c r="H110" i="54"/>
  <c r="R110" i="54"/>
  <c r="W102" i="54"/>
  <c r="V75" i="54"/>
  <c r="X41" i="54"/>
  <c r="Z59" i="54"/>
  <c r="V40" i="54"/>
  <c r="X85" i="54"/>
  <c r="Z41" i="54"/>
  <c r="U69" i="54"/>
  <c r="W98" i="54"/>
  <c r="Z33" i="54"/>
  <c r="AA59" i="54"/>
  <c r="Z103" i="54"/>
  <c r="X22" i="54"/>
  <c r="O9" i="54"/>
  <c r="V18" i="54"/>
  <c r="AA33" i="54"/>
  <c r="AA49" i="54"/>
  <c r="Y59" i="54"/>
  <c r="Z77" i="54"/>
  <c r="AA92" i="54"/>
  <c r="H72" i="56"/>
  <c r="O16" i="54"/>
  <c r="W16" i="54" s="1"/>
  <c r="E40" i="54"/>
  <c r="E41" i="54" s="1"/>
  <c r="H71" i="56" s="1"/>
  <c r="V69" i="54"/>
  <c r="AA69" i="54"/>
  <c r="W75" i="54"/>
  <c r="AA77" i="54"/>
  <c r="Z85" i="54"/>
  <c r="V90" i="54"/>
  <c r="E92" i="54"/>
  <c r="H75" i="56" s="1"/>
  <c r="Z92" i="54"/>
  <c r="O91" i="54"/>
  <c r="W91" i="54" s="1"/>
  <c r="AA103" i="54"/>
  <c r="O57" i="54"/>
  <c r="W57" i="54" s="1"/>
  <c r="Z22" i="54"/>
  <c r="U9" i="54"/>
  <c r="O14" i="54"/>
  <c r="W14" i="54" s="1"/>
  <c r="O15" i="54"/>
  <c r="W15" i="54" s="1"/>
  <c r="V16" i="54"/>
  <c r="O19" i="54"/>
  <c r="W19" i="54" s="1"/>
  <c r="AA41" i="54"/>
  <c r="X69" i="54"/>
  <c r="AA85" i="54"/>
  <c r="X92" i="54"/>
  <c r="W99" i="54"/>
  <c r="E103" i="54"/>
  <c r="W48" i="54"/>
  <c r="O58" i="54"/>
  <c r="W58" i="54" s="1"/>
  <c r="Y22" i="54"/>
  <c r="AA22" i="54"/>
  <c r="O13" i="54"/>
  <c r="W13" i="54" s="1"/>
  <c r="V14" i="54"/>
  <c r="X33" i="54"/>
  <c r="Z49" i="54"/>
  <c r="Z69" i="54"/>
  <c r="X77" i="54"/>
  <c r="O84" i="54"/>
  <c r="W84" i="54" s="1"/>
  <c r="X103" i="54"/>
  <c r="O10" i="54"/>
  <c r="W10" i="54" s="1"/>
  <c r="W33" i="54"/>
  <c r="W56" i="54"/>
  <c r="W69" i="54"/>
  <c r="E77" i="54"/>
  <c r="H73" i="56" s="1"/>
  <c r="W90" i="54"/>
  <c r="W47" i="54"/>
  <c r="O21" i="54"/>
  <c r="W21" i="54" s="1"/>
  <c r="V10" i="54"/>
  <c r="V56" i="54"/>
  <c r="X57" i="54"/>
  <c r="X59" i="54" s="1"/>
  <c r="P59" i="54"/>
  <c r="O76" i="54"/>
  <c r="W76" i="54" s="1"/>
  <c r="E83" i="54"/>
  <c r="E85" i="54" s="1"/>
  <c r="H74" i="56" s="1"/>
  <c r="V102" i="54"/>
  <c r="E33" i="54"/>
  <c r="C34" i="54" s="1"/>
  <c r="E69" i="54"/>
  <c r="E71" i="54" s="1"/>
  <c r="D71" i="54" s="1"/>
  <c r="X48" i="54"/>
  <c r="Y110" i="54" l="1"/>
  <c r="R89" i="63"/>
  <c r="W9" i="54"/>
  <c r="W22" i="54" s="1"/>
  <c r="O22" i="54"/>
  <c r="F81" i="63" s="1"/>
  <c r="H81" i="63" s="1"/>
  <c r="W101" i="54"/>
  <c r="M89" i="49"/>
  <c r="AA110" i="54"/>
  <c r="E110" i="54"/>
  <c r="N4" i="54"/>
  <c r="V4" i="54" s="1"/>
  <c r="Z110" i="54"/>
  <c r="W92" i="54"/>
  <c r="H70" i="56"/>
  <c r="H76" i="56" s="1"/>
  <c r="W59" i="54"/>
  <c r="W40" i="54"/>
  <c r="W41" i="54" s="1"/>
  <c r="O49" i="54"/>
  <c r="F83" i="63" s="1"/>
  <c r="H83" i="63" s="1"/>
  <c r="O92" i="54"/>
  <c r="F86" i="63" s="1"/>
  <c r="H86" i="63" s="1"/>
  <c r="W77" i="54"/>
  <c r="J75" i="56"/>
  <c r="J74" i="56"/>
  <c r="J72" i="56"/>
  <c r="J73" i="56"/>
  <c r="J71" i="56"/>
  <c r="O77" i="54"/>
  <c r="F84" i="63" s="1"/>
  <c r="O41" i="54"/>
  <c r="F82" i="63" s="1"/>
  <c r="H82" i="63" s="1"/>
  <c r="W49" i="54"/>
  <c r="X47" i="54"/>
  <c r="X49" i="54" s="1"/>
  <c r="X110" i="54" s="1"/>
  <c r="P49" i="54"/>
  <c r="F83" i="49" l="1"/>
  <c r="G83" i="63"/>
  <c r="G89" i="63" s="1"/>
  <c r="G83" i="49"/>
  <c r="P110" i="54"/>
  <c r="H84" i="63"/>
  <c r="J70" i="56"/>
  <c r="J76" i="56" s="1"/>
  <c r="F86" i="49"/>
  <c r="F81" i="49"/>
  <c r="F82" i="49"/>
  <c r="F84" i="49"/>
  <c r="G63" i="49" l="1"/>
  <c r="G93" i="49"/>
  <c r="G75" i="49"/>
  <c r="G62" i="49"/>
  <c r="G64" i="49"/>
  <c r="G68" i="49"/>
  <c r="G69" i="49"/>
  <c r="G48" i="49"/>
  <c r="G54" i="49"/>
  <c r="G56" i="49"/>
  <c r="G57" i="49"/>
  <c r="G2" i="49"/>
  <c r="G3" i="49"/>
  <c r="G4" i="49"/>
  <c r="G5" i="49"/>
  <c r="G6" i="49"/>
  <c r="G9" i="49"/>
  <c r="G14" i="49"/>
  <c r="G15" i="49"/>
  <c r="G17" i="49"/>
  <c r="G18" i="49"/>
  <c r="G19" i="49"/>
  <c r="H94" i="49"/>
  <c r="J94" i="49"/>
  <c r="K94" i="49"/>
  <c r="G89" i="49" l="1"/>
  <c r="L99" i="49"/>
  <c r="AD134" i="30" l="1"/>
  <c r="AD135" i="30" s="1"/>
  <c r="AC134" i="30"/>
  <c r="AA134" i="30"/>
  <c r="Z134" i="30"/>
  <c r="Z135" i="30" s="1"/>
  <c r="Y134" i="30"/>
  <c r="X134" i="30"/>
  <c r="X126" i="30"/>
  <c r="Y126" i="30"/>
  <c r="AA126" i="30"/>
  <c r="AC126" i="30"/>
  <c r="AD126" i="30"/>
  <c r="X127" i="30"/>
  <c r="Y127" i="30"/>
  <c r="AA127" i="30"/>
  <c r="AC127" i="30"/>
  <c r="AD127" i="30"/>
  <c r="X125" i="30"/>
  <c r="AD125" i="30"/>
  <c r="AC125" i="30"/>
  <c r="AA125" i="30"/>
  <c r="Y125" i="30"/>
  <c r="AD124" i="30"/>
  <c r="AC124" i="30"/>
  <c r="AA124" i="30"/>
  <c r="Y124" i="30"/>
  <c r="X124" i="30"/>
  <c r="AD123" i="30"/>
  <c r="AC123" i="30"/>
  <c r="AA123" i="30"/>
  <c r="Y123" i="30"/>
  <c r="X123" i="30"/>
  <c r="AD122" i="30"/>
  <c r="AC122" i="30"/>
  <c r="AA122" i="30"/>
  <c r="Z122" i="30"/>
  <c r="Y122" i="30"/>
  <c r="X122" i="30"/>
  <c r="AD114" i="30"/>
  <c r="AC114" i="30"/>
  <c r="AA114" i="30"/>
  <c r="X114" i="30"/>
  <c r="AD113" i="30"/>
  <c r="AC113" i="30"/>
  <c r="AA113" i="30"/>
  <c r="X113" i="30"/>
  <c r="V135" i="30"/>
  <c r="R135" i="30"/>
  <c r="M60" i="63" l="1"/>
  <c r="M60" i="49"/>
  <c r="E69" i="49"/>
  <c r="E68" i="49"/>
  <c r="E67" i="49"/>
  <c r="E65" i="49"/>
  <c r="E64" i="49"/>
  <c r="E63" i="49"/>
  <c r="E62" i="49"/>
  <c r="E57" i="49"/>
  <c r="E56" i="49"/>
  <c r="E55" i="49"/>
  <c r="E54" i="49"/>
  <c r="E53" i="49"/>
  <c r="E52" i="49"/>
  <c r="E50" i="49"/>
  <c r="E49" i="49"/>
  <c r="E48" i="49"/>
  <c r="O94" i="49"/>
  <c r="N94" i="49"/>
  <c r="M94" i="49"/>
  <c r="G94" i="49"/>
  <c r="E93" i="49"/>
  <c r="O80" i="49"/>
  <c r="N80" i="49"/>
  <c r="K80" i="49"/>
  <c r="E77" i="49"/>
  <c r="D77" i="49"/>
  <c r="E76" i="49"/>
  <c r="D76" i="49"/>
  <c r="E74" i="49"/>
  <c r="E73" i="49"/>
  <c r="O47" i="49"/>
  <c r="N47" i="49"/>
  <c r="E45" i="49"/>
  <c r="E43" i="49"/>
  <c r="E41" i="49"/>
  <c r="E40" i="49"/>
  <c r="E39" i="49"/>
  <c r="E38" i="49"/>
  <c r="I37" i="49"/>
  <c r="E36" i="49"/>
  <c r="E35" i="49"/>
  <c r="E34" i="49"/>
  <c r="E30" i="49"/>
  <c r="E28" i="49"/>
  <c r="E27" i="49"/>
  <c r="E26" i="49"/>
  <c r="E25" i="49"/>
  <c r="O24" i="49"/>
  <c r="N24" i="49"/>
  <c r="K22" i="49"/>
  <c r="J22" i="49"/>
  <c r="I22" i="49"/>
  <c r="E21" i="49"/>
  <c r="E19" i="49"/>
  <c r="J19" i="49" s="1"/>
  <c r="J18" i="49"/>
  <c r="E18" i="49"/>
  <c r="E17" i="49"/>
  <c r="E16" i="49"/>
  <c r="J15" i="49"/>
  <c r="E15" i="49"/>
  <c r="E14" i="49"/>
  <c r="E13" i="49"/>
  <c r="J12" i="49"/>
  <c r="E12" i="49"/>
  <c r="J11" i="49"/>
  <c r="E11" i="49"/>
  <c r="E10" i="49"/>
  <c r="J9" i="49"/>
  <c r="J8" i="49"/>
  <c r="E8" i="49"/>
  <c r="J7" i="49"/>
  <c r="I7" i="49"/>
  <c r="E6" i="49"/>
  <c r="J5" i="49"/>
  <c r="E5" i="49"/>
  <c r="E4" i="49"/>
  <c r="E3" i="49"/>
  <c r="R38" i="30"/>
  <c r="S38" i="30"/>
  <c r="AD29" i="27"/>
  <c r="AC29" i="27"/>
  <c r="AD28" i="27"/>
  <c r="AC28" i="27"/>
  <c r="AD27" i="27"/>
  <c r="AC27" i="27"/>
  <c r="AD26" i="27"/>
  <c r="AC26" i="27"/>
  <c r="AC25" i="27"/>
  <c r="AD24" i="27"/>
  <c r="AC24" i="27"/>
  <c r="AD23" i="27"/>
  <c r="AA28" i="27"/>
  <c r="AA27" i="27"/>
  <c r="AA26" i="27"/>
  <c r="AA25" i="27"/>
  <c r="AA24" i="27"/>
  <c r="Z24" i="27"/>
  <c r="Y24" i="27"/>
  <c r="X24" i="27"/>
  <c r="AA23" i="27"/>
  <c r="Z23" i="27"/>
  <c r="N99" i="49" l="1"/>
  <c r="O99" i="49"/>
  <c r="J24" i="49"/>
  <c r="J99" i="49" l="1"/>
  <c r="R110" i="31" l="1"/>
  <c r="V109" i="31"/>
  <c r="V110" i="31" s="1"/>
  <c r="P21" i="30"/>
  <c r="P20" i="30"/>
  <c r="P19" i="30"/>
  <c r="M71" i="63" l="1"/>
  <c r="M71" i="49"/>
  <c r="R19" i="30"/>
  <c r="P22" i="31"/>
  <c r="P21" i="31"/>
  <c r="M39" i="29" l="1"/>
  <c r="M38" i="29"/>
  <c r="M37" i="29"/>
  <c r="C39" i="29"/>
  <c r="C38" i="29"/>
  <c r="C37" i="29"/>
  <c r="AA7" i="29"/>
  <c r="Z7" i="29"/>
  <c r="Y7" i="29"/>
  <c r="X7" i="29"/>
  <c r="V7" i="29"/>
  <c r="U7" i="29"/>
  <c r="O7" i="29"/>
  <c r="Z6" i="29"/>
  <c r="Y6" i="29"/>
  <c r="V6" i="29"/>
  <c r="U6" i="29"/>
  <c r="P6" i="29"/>
  <c r="O6" i="29"/>
  <c r="F6" i="29"/>
  <c r="I6" i="29" s="1"/>
  <c r="AA6" i="29" s="1"/>
  <c r="E6" i="29"/>
  <c r="BB6" i="29" s="1"/>
  <c r="Y5" i="29"/>
  <c r="U5" i="29"/>
  <c r="N5" i="29"/>
  <c r="P5" i="29" s="1"/>
  <c r="D5" i="29"/>
  <c r="E5" i="29" s="1"/>
  <c r="AA4" i="29"/>
  <c r="Y4" i="29"/>
  <c r="X4" i="29"/>
  <c r="W4" i="29"/>
  <c r="V4" i="29"/>
  <c r="U4" i="29"/>
  <c r="U8" i="29"/>
  <c r="V8" i="29"/>
  <c r="W8" i="29"/>
  <c r="X8" i="29"/>
  <c r="Y8" i="29"/>
  <c r="Z8" i="29"/>
  <c r="AA8" i="29"/>
  <c r="U9" i="29"/>
  <c r="V9" i="29"/>
  <c r="W9" i="29"/>
  <c r="X9" i="29"/>
  <c r="Y9" i="29"/>
  <c r="Z9" i="29"/>
  <c r="AA9" i="29"/>
  <c r="AS9" i="29"/>
  <c r="C10" i="29"/>
  <c r="D10" i="29"/>
  <c r="D11" i="29" s="1"/>
  <c r="N10" i="29"/>
  <c r="X10" i="29"/>
  <c r="Y10" i="29"/>
  <c r="Z10" i="29"/>
  <c r="AA10" i="29"/>
  <c r="C11" i="29"/>
  <c r="X11" i="29"/>
  <c r="Y11" i="29"/>
  <c r="Z11" i="29"/>
  <c r="AA11" i="29"/>
  <c r="AP5" i="29" l="1"/>
  <c r="U11" i="29"/>
  <c r="F5" i="29"/>
  <c r="I5" i="29" s="1"/>
  <c r="AA5" i="29" s="1"/>
  <c r="E75" i="49"/>
  <c r="V10" i="29"/>
  <c r="P22" i="29"/>
  <c r="G73" i="63" s="1"/>
  <c r="E10" i="29"/>
  <c r="AW10" i="29" s="1"/>
  <c r="O5" i="29"/>
  <c r="W7" i="29"/>
  <c r="O10" i="29"/>
  <c r="E11" i="29"/>
  <c r="AW11" i="29" s="1"/>
  <c r="W6" i="29"/>
  <c r="N11" i="29"/>
  <c r="V11" i="29" s="1"/>
  <c r="X6" i="29"/>
  <c r="V5" i="29"/>
  <c r="U10" i="29"/>
  <c r="G80" i="63" l="1"/>
  <c r="Q80" i="63" s="1"/>
  <c r="G73" i="49"/>
  <c r="X5" i="29"/>
  <c r="W10" i="29"/>
  <c r="W5" i="29"/>
  <c r="O11" i="29"/>
  <c r="W11" i="29" s="1"/>
  <c r="M199" i="28" l="1"/>
  <c r="N102" i="28"/>
  <c r="M102" i="28"/>
  <c r="M52" i="28"/>
  <c r="O52" i="28" s="1"/>
  <c r="M19" i="28"/>
  <c r="M11" i="28"/>
  <c r="O11" i="28" s="1"/>
  <c r="P82" i="31"/>
  <c r="P8" i="31"/>
  <c r="P6" i="30" l="1"/>
  <c r="O102" i="28"/>
  <c r="M68" i="28" l="1"/>
  <c r="M67" i="28"/>
  <c r="Q108" i="27"/>
  <c r="S285" i="27" l="1"/>
  <c r="T285" i="27"/>
  <c r="U285" i="27"/>
  <c r="V285" i="27"/>
  <c r="P265" i="27"/>
  <c r="P263" i="27"/>
  <c r="R263" i="27" s="1"/>
  <c r="P264" i="27"/>
  <c r="R264" i="27" s="1"/>
  <c r="P260" i="27"/>
  <c r="R260" i="27" s="1"/>
  <c r="P259" i="27"/>
  <c r="P230" i="27"/>
  <c r="P224" i="27"/>
  <c r="R224" i="27" s="1"/>
  <c r="Z224" i="27" s="1"/>
  <c r="Y224" i="27"/>
  <c r="AA224" i="27"/>
  <c r="AB224" i="27"/>
  <c r="AC224" i="27"/>
  <c r="AD224" i="27"/>
  <c r="Y141" i="27"/>
  <c r="U135" i="28"/>
  <c r="M114" i="28"/>
  <c r="U114" i="28" s="1"/>
  <c r="V114" i="28"/>
  <c r="N113" i="28"/>
  <c r="V113" i="28" s="1"/>
  <c r="V286" i="27" l="1"/>
  <c r="K20" i="49"/>
  <c r="U265" i="27"/>
  <c r="V265" i="27" s="1"/>
  <c r="R265" i="27"/>
  <c r="U263" i="27"/>
  <c r="X224" i="27"/>
  <c r="U264" i="27"/>
  <c r="V264" i="27" s="1"/>
  <c r="G20" i="49"/>
  <c r="H84" i="49" l="1"/>
  <c r="X114" i="45"/>
  <c r="Y102" i="45"/>
  <c r="X97" i="45"/>
  <c r="X92" i="45"/>
  <c r="X93" i="45"/>
  <c r="X94" i="45"/>
  <c r="X91" i="45"/>
  <c r="Y88" i="45"/>
  <c r="Y90" i="45"/>
  <c r="X86" i="45"/>
  <c r="X79" i="45"/>
  <c r="X81" i="45"/>
  <c r="X82" i="45"/>
  <c r="X78" i="45"/>
  <c r="Y74" i="45"/>
  <c r="Y77" i="45"/>
  <c r="X72" i="45"/>
  <c r="X52" i="45"/>
  <c r="Y49" i="45"/>
  <c r="X48" i="45"/>
  <c r="X47" i="45"/>
  <c r="X25" i="45"/>
  <c r="X26" i="45"/>
  <c r="X27" i="45"/>
  <c r="X28" i="45"/>
  <c r="X29" i="45"/>
  <c r="X30" i="45"/>
  <c r="X31" i="45"/>
  <c r="X32" i="45"/>
  <c r="X33" i="45"/>
  <c r="X34" i="45"/>
  <c r="X35" i="45"/>
  <c r="X36" i="45"/>
  <c r="X37" i="45"/>
  <c r="X38" i="45"/>
  <c r="X39" i="45"/>
  <c r="X40" i="45"/>
  <c r="X41" i="45"/>
  <c r="X42" i="45"/>
  <c r="X43" i="45"/>
  <c r="X44" i="45"/>
  <c r="X45" i="45"/>
  <c r="X46" i="45"/>
  <c r="X24" i="45"/>
  <c r="AI23" i="45"/>
  <c r="V24" i="45"/>
  <c r="W24" i="45"/>
  <c r="AA24" i="45"/>
  <c r="AC24" i="45"/>
  <c r="V25" i="45"/>
  <c r="W25" i="45"/>
  <c r="AC25" i="45"/>
  <c r="V26" i="45"/>
  <c r="V47" i="45" s="1"/>
  <c r="W26" i="45"/>
  <c r="V27" i="45"/>
  <c r="W27" i="45"/>
  <c r="V28" i="45"/>
  <c r="W28" i="45"/>
  <c r="AA28" i="45"/>
  <c r="AC28" i="45"/>
  <c r="V29" i="45"/>
  <c r="W29" i="45"/>
  <c r="V30" i="45"/>
  <c r="W30" i="45"/>
  <c r="AA30" i="45"/>
  <c r="AC30" i="45"/>
  <c r="V31" i="45"/>
  <c r="W31" i="45"/>
  <c r="V32" i="45"/>
  <c r="W32" i="45"/>
  <c r="V33" i="45"/>
  <c r="W33" i="45"/>
  <c r="V34" i="45"/>
  <c r="W34" i="45"/>
  <c r="W47" i="45" s="1"/>
  <c r="V35" i="45"/>
  <c r="W35" i="45"/>
  <c r="AD35" i="45"/>
  <c r="AD47" i="45" s="1"/>
  <c r="V36" i="45"/>
  <c r="W36" i="45"/>
  <c r="AD36" i="45"/>
  <c r="V37" i="45"/>
  <c r="W37" i="45"/>
  <c r="V38" i="45"/>
  <c r="W38" i="45"/>
  <c r="V39" i="45"/>
  <c r="W39" i="45"/>
  <c r="V40" i="45"/>
  <c r="W40" i="45"/>
  <c r="V41" i="45"/>
  <c r="W41" i="45"/>
  <c r="AA41" i="45"/>
  <c r="AC41" i="45" s="1"/>
  <c r="V42" i="45"/>
  <c r="S47" i="45"/>
  <c r="T47" i="45"/>
  <c r="U47" i="45"/>
  <c r="AB47" i="45"/>
  <c r="AE47" i="45"/>
  <c r="AF47" i="45"/>
  <c r="AG47" i="45"/>
  <c r="V48" i="45"/>
  <c r="W48" i="45"/>
  <c r="AE71" i="45"/>
  <c r="V49" i="45"/>
  <c r="W49" i="45"/>
  <c r="W50" i="45"/>
  <c r="J51" i="45"/>
  <c r="T71" i="45"/>
  <c r="W53" i="45"/>
  <c r="V55" i="45"/>
  <c r="Y55" i="45" s="1"/>
  <c r="W55" i="45"/>
  <c r="AA55" i="45"/>
  <c r="W56" i="45"/>
  <c r="AI71" i="45"/>
  <c r="V57" i="45"/>
  <c r="Y57" i="45" s="1"/>
  <c r="W57" i="45"/>
  <c r="W58" i="45"/>
  <c r="W59" i="45"/>
  <c r="W60" i="45"/>
  <c r="W61" i="45"/>
  <c r="W62" i="45"/>
  <c r="W63" i="45"/>
  <c r="W64" i="45"/>
  <c r="W65" i="45"/>
  <c r="V66" i="45"/>
  <c r="X66" i="45" s="1"/>
  <c r="W66" i="45"/>
  <c r="W67" i="45"/>
  <c r="U71" i="45"/>
  <c r="AH71" i="45"/>
  <c r="V72" i="45"/>
  <c r="W72" i="45"/>
  <c r="W73" i="45"/>
  <c r="V75" i="45"/>
  <c r="Y75" i="45" s="1"/>
  <c r="W75" i="45"/>
  <c r="V76" i="45"/>
  <c r="Y76" i="45" s="1"/>
  <c r="W76" i="45"/>
  <c r="V78" i="45"/>
  <c r="W78" i="45"/>
  <c r="V79" i="45"/>
  <c r="W79" i="45"/>
  <c r="V80" i="45"/>
  <c r="X80" i="45" s="1"/>
  <c r="X85" i="45" s="1"/>
  <c r="W80" i="45"/>
  <c r="V81" i="45"/>
  <c r="W81" i="45"/>
  <c r="V82" i="45"/>
  <c r="W82" i="45"/>
  <c r="U85" i="45"/>
  <c r="AH85" i="45"/>
  <c r="V86" i="45"/>
  <c r="W86" i="45"/>
  <c r="AE97" i="45"/>
  <c r="V87" i="45"/>
  <c r="Y87" i="45" s="1"/>
  <c r="W87" i="45"/>
  <c r="W97" i="45" s="1"/>
  <c r="AB97" i="45"/>
  <c r="V89" i="45"/>
  <c r="Y89" i="45" s="1"/>
  <c r="W89" i="45"/>
  <c r="V91" i="45"/>
  <c r="W91" i="45"/>
  <c r="V92" i="45"/>
  <c r="W92" i="45"/>
  <c r="V93" i="45"/>
  <c r="W93" i="45"/>
  <c r="V94" i="45"/>
  <c r="W94" i="45"/>
  <c r="AI97" i="45"/>
  <c r="T97" i="45"/>
  <c r="U97" i="45"/>
  <c r="AH97" i="45"/>
  <c r="V101" i="45"/>
  <c r="Y101" i="45" s="1"/>
  <c r="W101" i="45"/>
  <c r="V103" i="45"/>
  <c r="Y103" i="45" s="1"/>
  <c r="W103" i="45"/>
  <c r="W114" i="45" s="1"/>
  <c r="V104" i="45"/>
  <c r="Y104" i="45" s="1"/>
  <c r="W104" i="45"/>
  <c r="AI114" i="45"/>
  <c r="R114" i="45"/>
  <c r="U114" i="45"/>
  <c r="AH114" i="45"/>
  <c r="S117" i="45"/>
  <c r="S118" i="45"/>
  <c r="T118" i="45"/>
  <c r="S119" i="45"/>
  <c r="T119" i="45" s="1"/>
  <c r="T121" i="45" s="1"/>
  <c r="AC127" i="45"/>
  <c r="AD127" i="45"/>
  <c r="AG127" i="45"/>
  <c r="AC129" i="45"/>
  <c r="AG129" i="45"/>
  <c r="AD129" i="45"/>
  <c r="AC134" i="45"/>
  <c r="AD134" i="45"/>
  <c r="AG134" i="45"/>
  <c r="F136" i="45"/>
  <c r="U136" i="45"/>
  <c r="AE85" i="45" l="1"/>
  <c r="AG100" i="45"/>
  <c r="AC100" i="45"/>
  <c r="AD100" i="45"/>
  <c r="H86" i="49"/>
  <c r="H82" i="49"/>
  <c r="H83" i="49"/>
  <c r="AF114" i="45"/>
  <c r="AD132" i="45"/>
  <c r="AG125" i="45"/>
  <c r="Y114" i="45"/>
  <c r="AG97" i="45"/>
  <c r="AD97" i="45"/>
  <c r="AD71" i="45"/>
  <c r="AF71" i="45"/>
  <c r="AD125" i="45"/>
  <c r="AG85" i="45"/>
  <c r="V59" i="45"/>
  <c r="X59" i="45" s="1"/>
  <c r="V50" i="45"/>
  <c r="X50" i="45" s="1"/>
  <c r="T114" i="45"/>
  <c r="AB114" i="45"/>
  <c r="AE114" i="45"/>
  <c r="AF85" i="45"/>
  <c r="AB85" i="45"/>
  <c r="V61" i="45"/>
  <c r="X61" i="45" s="1"/>
  <c r="V56" i="45"/>
  <c r="Y56" i="45" s="1"/>
  <c r="AB71" i="45"/>
  <c r="Y97" i="45"/>
  <c r="AD85" i="45"/>
  <c r="AC125" i="45"/>
  <c r="AD114" i="45"/>
  <c r="V64" i="45"/>
  <c r="X64" i="45" s="1"/>
  <c r="V63" i="45"/>
  <c r="X63" i="45" s="1"/>
  <c r="V58" i="45"/>
  <c r="Y58" i="45" s="1"/>
  <c r="V54" i="45"/>
  <c r="X54" i="45" s="1"/>
  <c r="V51" i="45"/>
  <c r="Y51" i="45" s="1"/>
  <c r="AG71" i="45"/>
  <c r="AC132" i="45"/>
  <c r="AG114" i="45"/>
  <c r="AC114" i="45"/>
  <c r="O144" i="45"/>
  <c r="AF97" i="45"/>
  <c r="AI85" i="45"/>
  <c r="AI136" i="45" s="1"/>
  <c r="V67" i="45"/>
  <c r="X67" i="45" s="1"/>
  <c r="V62" i="45"/>
  <c r="X62" i="45" s="1"/>
  <c r="AC47" i="45"/>
  <c r="AA71" i="45"/>
  <c r="AC97" i="45"/>
  <c r="AG132" i="45"/>
  <c r="AE136" i="45"/>
  <c r="S85" i="45"/>
  <c r="AC85" i="45"/>
  <c r="V65" i="45"/>
  <c r="X65" i="45" s="1"/>
  <c r="V60" i="45"/>
  <c r="V53" i="45"/>
  <c r="X53" i="45" s="1"/>
  <c r="W51" i="45"/>
  <c r="AH47" i="45"/>
  <c r="AH136" i="45" s="1"/>
  <c r="K140" i="45"/>
  <c r="AA114" i="45"/>
  <c r="V73" i="45"/>
  <c r="AC71" i="45"/>
  <c r="V97" i="45"/>
  <c r="W85" i="45"/>
  <c r="V114" i="45"/>
  <c r="S121" i="45"/>
  <c r="S97" i="45"/>
  <c r="W54" i="45"/>
  <c r="S114" i="45"/>
  <c r="T85" i="45"/>
  <c r="T136" i="45" s="1"/>
  <c r="S71" i="45"/>
  <c r="AD136" i="45" l="1"/>
  <c r="O143" i="45" s="1"/>
  <c r="P144" i="45" s="1"/>
  <c r="AA136" i="45"/>
  <c r="AB136" i="45"/>
  <c r="AF136" i="45"/>
  <c r="AG136" i="45"/>
  <c r="Y71" i="45"/>
  <c r="AC136" i="45"/>
  <c r="V71" i="45"/>
  <c r="X60" i="45"/>
  <c r="X71" i="45" s="1"/>
  <c r="X136" i="45" s="1"/>
  <c r="V85" i="45"/>
  <c r="Y73" i="45"/>
  <c r="Y85" i="45" s="1"/>
  <c r="W71" i="45"/>
  <c r="W136" i="45" s="1"/>
  <c r="S136" i="45"/>
  <c r="K139" i="45"/>
  <c r="O148" i="45"/>
  <c r="O146" i="45" l="1"/>
  <c r="O145" i="45"/>
  <c r="P145" i="45" s="1"/>
  <c r="P143" i="45"/>
  <c r="P140" i="45"/>
  <c r="P139" i="45" s="1"/>
  <c r="H81" i="49"/>
  <c r="Y136" i="45"/>
  <c r="V136" i="45"/>
  <c r="AA11" i="41" l="1"/>
  <c r="Z11" i="41"/>
  <c r="X11" i="41"/>
  <c r="U11" i="41"/>
  <c r="AA10" i="41"/>
  <c r="Z10" i="41"/>
  <c r="X10" i="41"/>
  <c r="U10" i="41"/>
  <c r="AA9" i="41"/>
  <c r="Z9" i="41"/>
  <c r="X9" i="41"/>
  <c r="U9" i="41"/>
  <c r="AA8" i="41"/>
  <c r="Z8" i="41"/>
  <c r="X8" i="41"/>
  <c r="U8" i="41"/>
  <c r="AA7" i="41"/>
  <c r="Z7" i="41"/>
  <c r="X7" i="41"/>
  <c r="AA6" i="41"/>
  <c r="Z6" i="41"/>
  <c r="X6" i="41"/>
  <c r="U6" i="41"/>
  <c r="AA5" i="41"/>
  <c r="Z5" i="41"/>
  <c r="X5" i="41"/>
  <c r="W5" i="41"/>
  <c r="V5" i="41"/>
  <c r="U5" i="41"/>
  <c r="W11" i="41"/>
  <c r="W10" i="41"/>
  <c r="W9" i="41"/>
  <c r="W8" i="41"/>
  <c r="U7" i="41"/>
  <c r="V6" i="41"/>
  <c r="V8" i="41" l="1"/>
  <c r="V10" i="41"/>
  <c r="V7" i="41"/>
  <c r="V9" i="41"/>
  <c r="V11" i="41"/>
  <c r="E12" i="41"/>
  <c r="W6" i="41" l="1"/>
  <c r="W7" i="41"/>
  <c r="W12" i="41" l="1"/>
  <c r="W17" i="41" s="1"/>
  <c r="O17" i="41"/>
  <c r="E94" i="63" s="1"/>
  <c r="F93" i="49"/>
  <c r="I301" i="27"/>
  <c r="I293" i="27"/>
  <c r="H293" i="27"/>
  <c r="G293" i="27"/>
  <c r="G311" i="27" s="1"/>
  <c r="F293" i="27"/>
  <c r="E293" i="27"/>
  <c r="E104" i="31"/>
  <c r="F94" i="49" l="1"/>
  <c r="I93" i="49"/>
  <c r="I94" i="49" s="1"/>
  <c r="U250" i="27"/>
  <c r="U249" i="27"/>
  <c r="U248" i="27"/>
  <c r="P250" i="27"/>
  <c r="N57" i="29"/>
  <c r="P80" i="31"/>
  <c r="Q62" i="30"/>
  <c r="N209" i="28"/>
  <c r="V209" i="28" s="1"/>
  <c r="E94" i="49" l="1"/>
  <c r="M8" i="28"/>
  <c r="M9" i="28" s="1"/>
  <c r="O36" i="28" l="1"/>
  <c r="N112" i="28"/>
  <c r="Z84" i="29"/>
  <c r="AA83" i="29"/>
  <c r="AA84" i="29" s="1"/>
  <c r="Y83" i="29"/>
  <c r="Y84" i="29" s="1"/>
  <c r="X83" i="29"/>
  <c r="X84" i="29" s="1"/>
  <c r="W83" i="29"/>
  <c r="W84" i="29" s="1"/>
  <c r="V83" i="29"/>
  <c r="U83" i="29"/>
  <c r="AA66" i="29"/>
  <c r="Z66" i="29"/>
  <c r="Z67" i="29" s="1"/>
  <c r="Y66" i="29"/>
  <c r="U66" i="29"/>
  <c r="AA65" i="29"/>
  <c r="Y65" i="29"/>
  <c r="U65" i="29"/>
  <c r="AA64" i="29"/>
  <c r="Y64" i="29"/>
  <c r="X64" i="29"/>
  <c r="V64" i="29"/>
  <c r="U64" i="29"/>
  <c r="P60" i="29"/>
  <c r="R60" i="29"/>
  <c r="S60" i="29"/>
  <c r="U59" i="29"/>
  <c r="AA59" i="29"/>
  <c r="Z59" i="29"/>
  <c r="Y59" i="29"/>
  <c r="X59" i="29"/>
  <c r="AA58" i="29"/>
  <c r="Z58" i="29"/>
  <c r="Y58" i="29"/>
  <c r="X58" i="29"/>
  <c r="U58" i="29"/>
  <c r="AA57" i="29"/>
  <c r="Z57" i="29"/>
  <c r="Y57" i="29"/>
  <c r="X57" i="29"/>
  <c r="U57" i="29"/>
  <c r="AA56" i="29"/>
  <c r="Y56" i="29"/>
  <c r="X56" i="29"/>
  <c r="U56" i="29"/>
  <c r="AA55" i="29"/>
  <c r="Y55" i="29"/>
  <c r="X55" i="29"/>
  <c r="V55" i="29"/>
  <c r="U55" i="29"/>
  <c r="AA49" i="29"/>
  <c r="Z49" i="29"/>
  <c r="Y49" i="29"/>
  <c r="X49" i="29"/>
  <c r="V49" i="29"/>
  <c r="U49" i="29"/>
  <c r="AA48" i="29"/>
  <c r="Z48" i="29"/>
  <c r="Y48" i="29"/>
  <c r="X48" i="29"/>
  <c r="V48" i="29"/>
  <c r="U48" i="29"/>
  <c r="AA47" i="29"/>
  <c r="Y47" i="29"/>
  <c r="X47" i="29"/>
  <c r="V47" i="29"/>
  <c r="U47" i="29"/>
  <c r="AA45" i="29"/>
  <c r="Y45" i="29"/>
  <c r="X45" i="29"/>
  <c r="W45" i="29"/>
  <c r="V45" i="29"/>
  <c r="U45" i="29"/>
  <c r="S84" i="29"/>
  <c r="O84" i="29"/>
  <c r="E49" i="29"/>
  <c r="E48" i="29"/>
  <c r="E47" i="29"/>
  <c r="E59" i="29"/>
  <c r="E58" i="29"/>
  <c r="E57" i="29"/>
  <c r="E56" i="29"/>
  <c r="E55" i="29"/>
  <c r="W55" i="29" s="1"/>
  <c r="E66" i="29"/>
  <c r="E65" i="29"/>
  <c r="E64" i="29"/>
  <c r="W64" i="29" s="1"/>
  <c r="F66" i="29"/>
  <c r="F65" i="29"/>
  <c r="I50" i="29"/>
  <c r="H50" i="29"/>
  <c r="F50" i="29"/>
  <c r="AA282" i="28"/>
  <c r="AA283" i="28" s="1"/>
  <c r="Z282" i="28"/>
  <c r="Y282" i="28"/>
  <c r="X282" i="28"/>
  <c r="W282" i="28"/>
  <c r="W283" i="28" s="1"/>
  <c r="V282" i="28"/>
  <c r="U282" i="28"/>
  <c r="S283" i="28"/>
  <c r="M46" i="63" s="1"/>
  <c r="O283" i="28"/>
  <c r="E263" i="28"/>
  <c r="E261" i="28"/>
  <c r="W261" i="28" s="1"/>
  <c r="E276" i="28"/>
  <c r="AB31" i="27"/>
  <c r="AC31" i="27"/>
  <c r="AD31" i="27"/>
  <c r="AB33" i="27"/>
  <c r="AC33" i="27"/>
  <c r="AD33" i="27"/>
  <c r="AB34" i="27"/>
  <c r="AC34" i="27"/>
  <c r="AD34" i="27"/>
  <c r="AB35" i="27"/>
  <c r="AC35" i="27"/>
  <c r="AD35" i="27"/>
  <c r="AB36" i="27"/>
  <c r="AC36" i="27"/>
  <c r="AD36" i="27"/>
  <c r="AB37" i="27"/>
  <c r="AC37" i="27"/>
  <c r="AD37" i="27"/>
  <c r="AB38" i="27"/>
  <c r="AC38" i="27"/>
  <c r="AD38" i="27"/>
  <c r="AD30" i="27"/>
  <c r="AC30" i="27"/>
  <c r="AB30" i="27"/>
  <c r="AD300" i="27"/>
  <c r="AD301" i="27" s="1"/>
  <c r="AC300" i="27"/>
  <c r="AB300" i="27"/>
  <c r="AA300" i="27"/>
  <c r="AA301" i="27" s="1"/>
  <c r="Z300" i="27"/>
  <c r="Z301" i="27" s="1"/>
  <c r="Y300" i="27"/>
  <c r="X300" i="27"/>
  <c r="S293" i="27"/>
  <c r="T293" i="27"/>
  <c r="U293" i="27"/>
  <c r="V293" i="27"/>
  <c r="AD292" i="27"/>
  <c r="AD293" i="27" s="1"/>
  <c r="AC292" i="27"/>
  <c r="AC293" i="27" s="1"/>
  <c r="AB292" i="27"/>
  <c r="AB293" i="27" s="1"/>
  <c r="AA292" i="27"/>
  <c r="AA293" i="27" s="1"/>
  <c r="Y292" i="27"/>
  <c r="X292" i="27"/>
  <c r="AD291" i="27"/>
  <c r="AC291" i="27"/>
  <c r="AB291" i="27"/>
  <c r="AA291" i="27"/>
  <c r="Z291" i="27"/>
  <c r="Y291" i="27"/>
  <c r="X291" i="27"/>
  <c r="AD290" i="27"/>
  <c r="AC290" i="27"/>
  <c r="AB290" i="27"/>
  <c r="AA290" i="27"/>
  <c r="Z290" i="27"/>
  <c r="Y290" i="27"/>
  <c r="X290" i="27"/>
  <c r="AD284" i="27"/>
  <c r="AC284" i="27"/>
  <c r="AB284" i="27"/>
  <c r="AA284" i="27"/>
  <c r="Y284" i="27"/>
  <c r="X284" i="27"/>
  <c r="AD283" i="27"/>
  <c r="AC283" i="27"/>
  <c r="AB283" i="27"/>
  <c r="AA283" i="27"/>
  <c r="Y283" i="27"/>
  <c r="X283" i="27"/>
  <c r="AD282" i="27"/>
  <c r="AC282" i="27"/>
  <c r="AB282" i="27"/>
  <c r="AA282" i="27"/>
  <c r="Y282" i="27"/>
  <c r="X282" i="27"/>
  <c r="AD281" i="27"/>
  <c r="AC281" i="27"/>
  <c r="AB281" i="27"/>
  <c r="AA281" i="27"/>
  <c r="Y281" i="27"/>
  <c r="X281" i="27"/>
  <c r="AD280" i="27"/>
  <c r="AC280" i="27"/>
  <c r="AB280" i="27"/>
  <c r="AA280" i="27"/>
  <c r="Y280" i="27"/>
  <c r="X280" i="27"/>
  <c r="AD279" i="27"/>
  <c r="AC279" i="27"/>
  <c r="AB279" i="27"/>
  <c r="AA279" i="27"/>
  <c r="Y279" i="27"/>
  <c r="X279" i="27"/>
  <c r="AD278" i="27"/>
  <c r="AC278" i="27"/>
  <c r="AB278" i="27"/>
  <c r="AA278" i="27"/>
  <c r="X278" i="27"/>
  <c r="AD277" i="27"/>
  <c r="AC277" i="27"/>
  <c r="AB277" i="27"/>
  <c r="AA277" i="27"/>
  <c r="X277" i="27"/>
  <c r="AD276" i="27"/>
  <c r="AC276" i="27"/>
  <c r="AB276" i="27"/>
  <c r="AA276" i="27"/>
  <c r="X276" i="27"/>
  <c r="AD275" i="27"/>
  <c r="AC275" i="27"/>
  <c r="AB275" i="27"/>
  <c r="AA275" i="27"/>
  <c r="Y275" i="27"/>
  <c r="X275" i="27"/>
  <c r="E275" i="27"/>
  <c r="E280" i="27"/>
  <c r="AA276" i="28"/>
  <c r="Z276" i="28"/>
  <c r="Y276" i="28"/>
  <c r="X276" i="28"/>
  <c r="AA275" i="28"/>
  <c r="Z275" i="28"/>
  <c r="Y275" i="28"/>
  <c r="X275" i="28"/>
  <c r="AA274" i="28"/>
  <c r="Z274" i="28"/>
  <c r="Y274" i="28"/>
  <c r="X274" i="28"/>
  <c r="AA273" i="28"/>
  <c r="Z273" i="28"/>
  <c r="Y273" i="28"/>
  <c r="X273" i="28"/>
  <c r="W273" i="28"/>
  <c r="V273" i="28"/>
  <c r="U273" i="28"/>
  <c r="AA272" i="28"/>
  <c r="Z272" i="28"/>
  <c r="Y272" i="28"/>
  <c r="X272" i="28"/>
  <c r="W272" i="28"/>
  <c r="V272" i="28"/>
  <c r="U272" i="28"/>
  <c r="AA271" i="28"/>
  <c r="Z271" i="28"/>
  <c r="Y271" i="28"/>
  <c r="X271" i="28"/>
  <c r="W271" i="28"/>
  <c r="V271" i="28"/>
  <c r="U271" i="28"/>
  <c r="AA263" i="28"/>
  <c r="Z263" i="28"/>
  <c r="Y263" i="28"/>
  <c r="X263" i="28"/>
  <c r="V263" i="28"/>
  <c r="U263" i="28"/>
  <c r="AA261" i="28"/>
  <c r="Z261" i="28"/>
  <c r="Y261" i="28"/>
  <c r="X261" i="28"/>
  <c r="V261" i="28"/>
  <c r="U261" i="28"/>
  <c r="AA253" i="28"/>
  <c r="AA254" i="28" s="1"/>
  <c r="Z253" i="28"/>
  <c r="Z254" i="28" s="1"/>
  <c r="Y253" i="28"/>
  <c r="Y254" i="28" s="1"/>
  <c r="X253" i="28"/>
  <c r="X254" i="28" s="1"/>
  <c r="V253" i="28"/>
  <c r="U253" i="28"/>
  <c r="AA252" i="28"/>
  <c r="Z252" i="28"/>
  <c r="Y252" i="28"/>
  <c r="X252" i="28"/>
  <c r="V252" i="28"/>
  <c r="U252" i="28"/>
  <c r="R278" i="27"/>
  <c r="R280" i="27"/>
  <c r="R275" i="27"/>
  <c r="Q277" i="27"/>
  <c r="R277" i="27" s="1"/>
  <c r="Q276" i="27"/>
  <c r="R276" i="27" s="1"/>
  <c r="R284" i="27"/>
  <c r="Z284" i="27" s="1"/>
  <c r="R283" i="27"/>
  <c r="Z283" i="27" s="1"/>
  <c r="R282" i="27"/>
  <c r="Z282" i="27" s="1"/>
  <c r="R281" i="27"/>
  <c r="Z281" i="27" s="1"/>
  <c r="AA264" i="27"/>
  <c r="AB264" i="27"/>
  <c r="AA265" i="27"/>
  <c r="AB265" i="27"/>
  <c r="AA266" i="27"/>
  <c r="AB266" i="27"/>
  <c r="X267" i="27"/>
  <c r="Y267" i="27"/>
  <c r="AA267" i="27"/>
  <c r="AB267" i="27"/>
  <c r="AA268" i="27"/>
  <c r="AB268" i="27"/>
  <c r="AA269" i="27"/>
  <c r="AB269" i="27"/>
  <c r="AB263" i="27"/>
  <c r="AA263" i="27"/>
  <c r="AB262" i="27"/>
  <c r="AA262" i="27"/>
  <c r="X262" i="27"/>
  <c r="AB261" i="27"/>
  <c r="AA261" i="27"/>
  <c r="AB260" i="27"/>
  <c r="AA260" i="27"/>
  <c r="AD259" i="27"/>
  <c r="AB259" i="27"/>
  <c r="AA259" i="27"/>
  <c r="Z259" i="27"/>
  <c r="Y259" i="27"/>
  <c r="AD258" i="27"/>
  <c r="AB258" i="27"/>
  <c r="AA258" i="27"/>
  <c r="Z258" i="27"/>
  <c r="Y258" i="27"/>
  <c r="X258" i="27"/>
  <c r="AD257" i="27"/>
  <c r="AB257" i="27"/>
  <c r="AA257" i="27"/>
  <c r="Z257" i="27"/>
  <c r="R38" i="27"/>
  <c r="Z38" i="27" s="1"/>
  <c r="P35" i="27"/>
  <c r="P34" i="27"/>
  <c r="P33" i="27"/>
  <c r="V301" i="27"/>
  <c r="V302" i="27" s="1"/>
  <c r="R292" i="27"/>
  <c r="R293" i="27" s="1"/>
  <c r="U261" i="27"/>
  <c r="V261" i="27" s="1"/>
  <c r="D262" i="27"/>
  <c r="D261" i="27"/>
  <c r="Y261" i="27" s="1"/>
  <c r="AA67" i="29" l="1"/>
  <c r="AC39" i="27"/>
  <c r="R37" i="27"/>
  <c r="Z37" i="27" s="1"/>
  <c r="X33" i="27"/>
  <c r="R34" i="27"/>
  <c r="Z34" i="27" s="1"/>
  <c r="X34" i="27"/>
  <c r="R35" i="27"/>
  <c r="Z35" i="27" s="1"/>
  <c r="X35" i="27"/>
  <c r="AA39" i="27"/>
  <c r="R294" i="27"/>
  <c r="Z280" i="27"/>
  <c r="X60" i="29"/>
  <c r="G77" i="49"/>
  <c r="AC301" i="27"/>
  <c r="F21" i="49"/>
  <c r="G21" i="49"/>
  <c r="M46" i="49"/>
  <c r="F67" i="29"/>
  <c r="AB301" i="27"/>
  <c r="Z275" i="27"/>
  <c r="E67" i="29"/>
  <c r="AA50" i="29"/>
  <c r="X50" i="29"/>
  <c r="AA60" i="29"/>
  <c r="Z60" i="29"/>
  <c r="Z50" i="29"/>
  <c r="E50" i="29"/>
  <c r="E60" i="29"/>
  <c r="E274" i="28"/>
  <c r="E275" i="28"/>
  <c r="Z264" i="28"/>
  <c r="X264" i="28"/>
  <c r="AA277" i="28"/>
  <c r="AA264" i="28"/>
  <c r="E264" i="28"/>
  <c r="Y264" i="28"/>
  <c r="Y262" i="27"/>
  <c r="AA285" i="27"/>
  <c r="AD285" i="27"/>
  <c r="Z292" i="27"/>
  <c r="Z293" i="27" s="1"/>
  <c r="AC285" i="27"/>
  <c r="AB270" i="27"/>
  <c r="AB285" i="27"/>
  <c r="Z277" i="28"/>
  <c r="X277" i="28"/>
  <c r="Y277" i="28"/>
  <c r="AA270" i="27"/>
  <c r="R36" i="27"/>
  <c r="Z36" i="27" s="1"/>
  <c r="R33" i="27"/>
  <c r="Z33" i="27" s="1"/>
  <c r="I21" i="49" l="1"/>
  <c r="Q30" i="27"/>
  <c r="Y30" i="27" s="1"/>
  <c r="E277" i="28"/>
  <c r="U267" i="27" l="1"/>
  <c r="V267" i="27" s="1"/>
  <c r="U266" i="27"/>
  <c r="V266" i="27" s="1"/>
  <c r="P268" i="27"/>
  <c r="R268" i="27" s="1"/>
  <c r="P266" i="27"/>
  <c r="R266" i="27" s="1"/>
  <c r="U258" i="27"/>
  <c r="X250" i="27"/>
  <c r="AA250" i="27"/>
  <c r="AB250" i="27"/>
  <c r="AC250" i="27"/>
  <c r="AB249" i="27"/>
  <c r="AA249" i="27"/>
  <c r="AB248" i="27"/>
  <c r="AA248" i="27"/>
  <c r="AD247" i="27"/>
  <c r="AC247" i="27"/>
  <c r="AB247" i="27"/>
  <c r="AA247" i="27"/>
  <c r="Z247" i="27"/>
  <c r="Y247" i="27"/>
  <c r="X247" i="27"/>
  <c r="AD246" i="27"/>
  <c r="AC246" i="27"/>
  <c r="AB246" i="27"/>
  <c r="AA246" i="27"/>
  <c r="Z246" i="27"/>
  <c r="Y246" i="27"/>
  <c r="X246" i="27"/>
  <c r="Q250" i="27"/>
  <c r="R250" i="27" s="1"/>
  <c r="P249" i="27"/>
  <c r="Q248" i="27"/>
  <c r="P248" i="27"/>
  <c r="X240" i="27"/>
  <c r="Y240" i="27"/>
  <c r="AA240" i="27"/>
  <c r="AB240" i="27"/>
  <c r="AC240" i="27"/>
  <c r="AD240" i="27"/>
  <c r="AD239" i="27"/>
  <c r="AC239" i="27"/>
  <c r="AB239" i="27"/>
  <c r="AA239" i="27"/>
  <c r="AD238" i="27"/>
  <c r="AC238" i="27"/>
  <c r="AB238" i="27"/>
  <c r="AA238" i="27"/>
  <c r="Z238" i="27"/>
  <c r="Y238" i="27"/>
  <c r="X238" i="27"/>
  <c r="AD237" i="27"/>
  <c r="AC237" i="27"/>
  <c r="AB237" i="27"/>
  <c r="AA237" i="27"/>
  <c r="Z237" i="27"/>
  <c r="Y237" i="27"/>
  <c r="R240" i="27"/>
  <c r="R239" i="27"/>
  <c r="AA223" i="27"/>
  <c r="AB223" i="27"/>
  <c r="AC223" i="27"/>
  <c r="AD223" i="27"/>
  <c r="X225" i="27"/>
  <c r="Y225" i="27"/>
  <c r="AA225" i="27"/>
  <c r="AB225" i="27"/>
  <c r="AC225" i="27"/>
  <c r="AD225" i="27"/>
  <c r="X226" i="27"/>
  <c r="Y226" i="27"/>
  <c r="Z226" i="27"/>
  <c r="AA226" i="27"/>
  <c r="AB226" i="27"/>
  <c r="AC226" i="27"/>
  <c r="AD226" i="27"/>
  <c r="X227" i="27"/>
  <c r="Y227" i="27"/>
  <c r="Z227" i="27"/>
  <c r="AA227" i="27"/>
  <c r="AB227" i="27"/>
  <c r="AC227" i="27"/>
  <c r="AD227" i="27"/>
  <c r="AA228" i="27"/>
  <c r="AB228" i="27"/>
  <c r="AC228" i="27"/>
  <c r="AD228" i="27"/>
  <c r="X229" i="27"/>
  <c r="AA229" i="27"/>
  <c r="AB229" i="27"/>
  <c r="AC229" i="27"/>
  <c r="AD229" i="27"/>
  <c r="X230" i="27"/>
  <c r="AA230" i="27"/>
  <c r="AB230" i="27"/>
  <c r="AC230" i="27"/>
  <c r="AD230" i="27"/>
  <c r="X231" i="27"/>
  <c r="Y231" i="27"/>
  <c r="AA231" i="27"/>
  <c r="AB231" i="27"/>
  <c r="AC231" i="27"/>
  <c r="AD231" i="27"/>
  <c r="AA222" i="27"/>
  <c r="AB222" i="27"/>
  <c r="AC222" i="27"/>
  <c r="AD222" i="27"/>
  <c r="AD221" i="27"/>
  <c r="AC221" i="27"/>
  <c r="AB221" i="27"/>
  <c r="AA221" i="27"/>
  <c r="AD220" i="27"/>
  <c r="AC220" i="27"/>
  <c r="AB220" i="27"/>
  <c r="AA220" i="27"/>
  <c r="Z220" i="27"/>
  <c r="Y220" i="27"/>
  <c r="AD219" i="27"/>
  <c r="AC219" i="27"/>
  <c r="AB219" i="27"/>
  <c r="AA219" i="27"/>
  <c r="Z219" i="27"/>
  <c r="Y219" i="27"/>
  <c r="X219" i="27"/>
  <c r="AD218" i="27"/>
  <c r="AC218" i="27"/>
  <c r="AB218" i="27"/>
  <c r="AA218" i="27"/>
  <c r="Z218" i="27"/>
  <c r="X218" i="27"/>
  <c r="S232" i="27"/>
  <c r="R230" i="27"/>
  <c r="P223" i="27"/>
  <c r="R223" i="27" s="1"/>
  <c r="P228" i="27"/>
  <c r="P220" i="27"/>
  <c r="P221" i="27" s="1"/>
  <c r="AB210" i="27"/>
  <c r="AA210" i="27"/>
  <c r="X210" i="27"/>
  <c r="AB209" i="27"/>
  <c r="AA209" i="27"/>
  <c r="Y209" i="27"/>
  <c r="X209" i="27"/>
  <c r="AB208" i="27"/>
  <c r="AA208" i="27"/>
  <c r="AD207" i="27"/>
  <c r="AC207" i="27"/>
  <c r="AB207" i="27"/>
  <c r="AA207" i="27"/>
  <c r="Z207" i="27"/>
  <c r="Y207" i="27"/>
  <c r="X207" i="27"/>
  <c r="AD206" i="27"/>
  <c r="AC206" i="27"/>
  <c r="AB206" i="27"/>
  <c r="AA206" i="27"/>
  <c r="Z206" i="27"/>
  <c r="Q210" i="27"/>
  <c r="R210" i="27" s="1"/>
  <c r="R209" i="27"/>
  <c r="P208" i="27"/>
  <c r="U209" i="27"/>
  <c r="V209" i="27" s="1"/>
  <c r="U208" i="27"/>
  <c r="Q208" i="27"/>
  <c r="Y199" i="27"/>
  <c r="AA199" i="27"/>
  <c r="AB199" i="27"/>
  <c r="AC199" i="27"/>
  <c r="AD199" i="27"/>
  <c r="Y200" i="27"/>
  <c r="AA200" i="27"/>
  <c r="AB200" i="27"/>
  <c r="AC200" i="27"/>
  <c r="AD200" i="27"/>
  <c r="AD198" i="27"/>
  <c r="AC198" i="27"/>
  <c r="AB198" i="27"/>
  <c r="AA198" i="27"/>
  <c r="AD197" i="27"/>
  <c r="AC197" i="27"/>
  <c r="AB197" i="27"/>
  <c r="AA197" i="27"/>
  <c r="AD196" i="27"/>
  <c r="AC196" i="27"/>
  <c r="AB196" i="27"/>
  <c r="AA196" i="27"/>
  <c r="Z196" i="27"/>
  <c r="Y196" i="27"/>
  <c r="X196" i="27"/>
  <c r="AD195" i="27"/>
  <c r="AC195" i="27"/>
  <c r="AB195" i="27"/>
  <c r="AA195" i="27"/>
  <c r="Z195" i="27"/>
  <c r="Y195" i="27"/>
  <c r="AD194" i="27"/>
  <c r="AC194" i="27"/>
  <c r="AB194" i="27"/>
  <c r="AA194" i="27"/>
  <c r="Z194" i="27"/>
  <c r="Y194" i="27"/>
  <c r="X194" i="27"/>
  <c r="AD193" i="27"/>
  <c r="AC193" i="27"/>
  <c r="AB193" i="27"/>
  <c r="AA193" i="27"/>
  <c r="Z193" i="27"/>
  <c r="Y193" i="27"/>
  <c r="X193" i="27"/>
  <c r="AD192" i="27"/>
  <c r="AC192" i="27"/>
  <c r="AB192" i="27"/>
  <c r="AA192" i="27"/>
  <c r="Z192" i="27"/>
  <c r="Y192" i="27"/>
  <c r="P200" i="27"/>
  <c r="P198" i="27"/>
  <c r="R198" i="27" s="1"/>
  <c r="P197" i="27"/>
  <c r="R197" i="27" s="1"/>
  <c r="P199" i="27"/>
  <c r="R199" i="27" s="1"/>
  <c r="AC180" i="27"/>
  <c r="AD180" i="27"/>
  <c r="AC181" i="27"/>
  <c r="AD181" i="27"/>
  <c r="X182" i="27"/>
  <c r="Y182" i="27"/>
  <c r="AB182" i="27"/>
  <c r="AC182" i="27"/>
  <c r="AD182" i="27"/>
  <c r="AB183" i="27"/>
  <c r="AC183" i="27"/>
  <c r="AD183" i="27"/>
  <c r="AB184" i="27"/>
  <c r="AC184" i="27"/>
  <c r="AD184" i="27"/>
  <c r="AB185" i="27"/>
  <c r="AC185" i="27"/>
  <c r="AD185" i="27"/>
  <c r="X186" i="27"/>
  <c r="Y186" i="27"/>
  <c r="Z186" i="27"/>
  <c r="AA186" i="27"/>
  <c r="AB186" i="27"/>
  <c r="AC186" i="27"/>
  <c r="AD186" i="27"/>
  <c r="AD179" i="27"/>
  <c r="AC179" i="27"/>
  <c r="AB179" i="27"/>
  <c r="AA179" i="27"/>
  <c r="Z179" i="27"/>
  <c r="Y179" i="27"/>
  <c r="X179" i="27"/>
  <c r="T187" i="27"/>
  <c r="U187" i="27"/>
  <c r="V187" i="27"/>
  <c r="X185" i="27"/>
  <c r="X184" i="27"/>
  <c r="X183" i="27"/>
  <c r="Q183" i="27"/>
  <c r="Y183" i="27" s="1"/>
  <c r="Q184" i="27"/>
  <c r="Q185" i="27"/>
  <c r="R181" i="27"/>
  <c r="S181" i="27"/>
  <c r="R182" i="27"/>
  <c r="Z182" i="27" s="1"/>
  <c r="S182" i="27"/>
  <c r="AA182" i="27" s="1"/>
  <c r="Q180" i="27"/>
  <c r="Z170" i="27"/>
  <c r="AA170" i="27"/>
  <c r="X170" i="27"/>
  <c r="AD170" i="27"/>
  <c r="AC170" i="27"/>
  <c r="AB170" i="27"/>
  <c r="Y170" i="27"/>
  <c r="U172" i="27"/>
  <c r="V172" i="27" s="1"/>
  <c r="U171" i="27"/>
  <c r="S172" i="27"/>
  <c r="X149" i="27"/>
  <c r="Y149" i="27"/>
  <c r="Z149" i="27"/>
  <c r="AA149" i="27"/>
  <c r="AC149" i="27"/>
  <c r="AD149" i="27"/>
  <c r="X150" i="27"/>
  <c r="AC150" i="27"/>
  <c r="X151" i="27"/>
  <c r="AC151" i="27"/>
  <c r="X152" i="27"/>
  <c r="Y152" i="27"/>
  <c r="Z152" i="27"/>
  <c r="AA152" i="27"/>
  <c r="AC152" i="27"/>
  <c r="X153" i="27"/>
  <c r="AC153" i="27"/>
  <c r="AD153" i="27"/>
  <c r="X154" i="27"/>
  <c r="AC154" i="27"/>
  <c r="X155" i="27"/>
  <c r="Y155" i="27"/>
  <c r="Z155" i="27"/>
  <c r="AA155" i="27"/>
  <c r="AC155" i="27"/>
  <c r="AD155" i="27"/>
  <c r="X156" i="27"/>
  <c r="Y156" i="27"/>
  <c r="Z156" i="27"/>
  <c r="AA156" i="27"/>
  <c r="AC156" i="27"/>
  <c r="AC157" i="27"/>
  <c r="AC158" i="27"/>
  <c r="AD158" i="27"/>
  <c r="X159" i="27"/>
  <c r="AC159" i="27"/>
  <c r="AC160" i="27"/>
  <c r="AD160" i="27"/>
  <c r="X161" i="27"/>
  <c r="AC161" i="27"/>
  <c r="X162" i="27"/>
  <c r="Y162" i="27"/>
  <c r="Z162" i="27"/>
  <c r="AA162" i="27"/>
  <c r="AD162" i="27"/>
  <c r="X163" i="27"/>
  <c r="Z163" i="27"/>
  <c r="AA163" i="27"/>
  <c r="AC163" i="27"/>
  <c r="X164" i="27"/>
  <c r="AC164" i="27"/>
  <c r="AD164" i="27"/>
  <c r="Y148" i="27"/>
  <c r="Z148" i="27"/>
  <c r="AA148" i="27"/>
  <c r="AC148" i="27"/>
  <c r="AD148" i="27"/>
  <c r="X148" i="27"/>
  <c r="Q164" i="27"/>
  <c r="R164" i="27" s="1"/>
  <c r="P160" i="27"/>
  <c r="X160" i="27" s="1"/>
  <c r="R158" i="27"/>
  <c r="S158" i="27"/>
  <c r="R159" i="27"/>
  <c r="S159" i="27"/>
  <c r="P157" i="27"/>
  <c r="Q151" i="27"/>
  <c r="V151" i="27" s="1"/>
  <c r="R154" i="27"/>
  <c r="S154" i="27" s="1"/>
  <c r="I250" i="27"/>
  <c r="D210" i="27"/>
  <c r="I210" i="27" s="1"/>
  <c r="D164" i="27"/>
  <c r="Q163" i="27"/>
  <c r="D163" i="27"/>
  <c r="Q153" i="27"/>
  <c r="R153" i="27" s="1"/>
  <c r="D153" i="27"/>
  <c r="I152" i="27"/>
  <c r="AD152" i="27" s="1"/>
  <c r="Q150" i="27"/>
  <c r="D150" i="27"/>
  <c r="Q70" i="27"/>
  <c r="R161" i="27"/>
  <c r="AA132" i="27"/>
  <c r="AA131" i="27"/>
  <c r="AA130" i="27"/>
  <c r="AA129" i="27"/>
  <c r="AA128" i="27"/>
  <c r="AA127" i="27"/>
  <c r="AA126" i="27"/>
  <c r="AA125" i="27"/>
  <c r="AA124" i="27"/>
  <c r="AA123" i="27"/>
  <c r="AA122" i="27"/>
  <c r="AA121" i="27"/>
  <c r="AA120" i="27"/>
  <c r="AA119" i="27"/>
  <c r="AA118" i="27"/>
  <c r="AA117" i="27"/>
  <c r="AA116" i="27"/>
  <c r="AA115" i="27"/>
  <c r="AA109" i="27"/>
  <c r="AA108" i="27"/>
  <c r="AA107" i="27"/>
  <c r="AA106" i="27"/>
  <c r="AA105" i="27"/>
  <c r="AA104" i="27"/>
  <c r="AA103" i="27"/>
  <c r="AA102" i="27"/>
  <c r="AA101" i="27"/>
  <c r="AA95" i="27"/>
  <c r="AA94" i="27"/>
  <c r="AA93" i="27"/>
  <c r="AA92" i="27"/>
  <c r="AA86" i="27"/>
  <c r="AA85" i="27"/>
  <c r="AA84" i="27"/>
  <c r="AA83" i="27"/>
  <c r="AA82" i="27"/>
  <c r="AA81" i="27"/>
  <c r="AA80" i="27"/>
  <c r="AA71" i="27"/>
  <c r="AA70" i="27"/>
  <c r="AA69" i="27"/>
  <c r="AA68" i="27"/>
  <c r="AA67" i="27"/>
  <c r="AA66" i="27"/>
  <c r="AA65" i="27"/>
  <c r="AA64" i="27"/>
  <c r="AA56" i="27"/>
  <c r="AA55" i="27"/>
  <c r="AA54" i="27"/>
  <c r="AA53" i="27"/>
  <c r="AA52" i="27"/>
  <c r="AA50" i="27"/>
  <c r="AA49" i="27"/>
  <c r="AA48" i="27"/>
  <c r="AA7" i="27"/>
  <c r="AA8" i="27"/>
  <c r="AA9" i="27"/>
  <c r="AA10" i="27"/>
  <c r="AA11" i="27"/>
  <c r="AA12" i="27"/>
  <c r="AA13" i="27"/>
  <c r="AA6" i="27"/>
  <c r="Z6" i="27"/>
  <c r="S110" i="27"/>
  <c r="AC6" i="27"/>
  <c r="AD142" i="27"/>
  <c r="AC142" i="27"/>
  <c r="AB142" i="27"/>
  <c r="AD141" i="27"/>
  <c r="AC141" i="27"/>
  <c r="X142" i="27"/>
  <c r="Y142" i="27"/>
  <c r="Y143" i="27" s="1"/>
  <c r="X126" i="27"/>
  <c r="V126" i="27"/>
  <c r="AD126" i="27" s="1"/>
  <c r="V127" i="27"/>
  <c r="AD127" i="27" s="1"/>
  <c r="V128" i="27"/>
  <c r="AD128" i="27" s="1"/>
  <c r="V129" i="27"/>
  <c r="AD129" i="27" s="1"/>
  <c r="V130" i="27"/>
  <c r="AD130" i="27" s="1"/>
  <c r="V131" i="27"/>
  <c r="AD131" i="27" s="1"/>
  <c r="V132" i="27"/>
  <c r="AD132" i="27" s="1"/>
  <c r="U119" i="27"/>
  <c r="Q119" i="27" s="1"/>
  <c r="U118" i="27"/>
  <c r="Q118" i="27" s="1"/>
  <c r="AB122" i="27"/>
  <c r="AB123" i="27"/>
  <c r="AB124" i="27"/>
  <c r="AB125" i="27"/>
  <c r="Y126" i="27"/>
  <c r="Z126" i="27"/>
  <c r="AB126" i="27"/>
  <c r="AC126" i="27"/>
  <c r="AB127" i="27"/>
  <c r="AC127" i="27"/>
  <c r="AB128" i="27"/>
  <c r="AC128" i="27"/>
  <c r="AB129" i="27"/>
  <c r="AC129" i="27"/>
  <c r="AB130" i="27"/>
  <c r="AC130" i="27"/>
  <c r="AB131" i="27"/>
  <c r="AC131" i="27"/>
  <c r="X132" i="27"/>
  <c r="Y132" i="27"/>
  <c r="AB132" i="27"/>
  <c r="AC132" i="27"/>
  <c r="AB121" i="27"/>
  <c r="AB120" i="27"/>
  <c r="AB119" i="27"/>
  <c r="AB118" i="27"/>
  <c r="AB117" i="27"/>
  <c r="AD116" i="27"/>
  <c r="AC116" i="27"/>
  <c r="AB116" i="27"/>
  <c r="Z116" i="27"/>
  <c r="Y116" i="27"/>
  <c r="X116" i="27"/>
  <c r="AD115" i="27"/>
  <c r="AB115" i="27"/>
  <c r="Z115" i="27"/>
  <c r="U125" i="27"/>
  <c r="Q125" i="27" s="1"/>
  <c r="U117" i="27"/>
  <c r="Q117" i="27" s="1"/>
  <c r="U124" i="27"/>
  <c r="Q124" i="27" s="1"/>
  <c r="AB106" i="27"/>
  <c r="AB107" i="27"/>
  <c r="AB108" i="27"/>
  <c r="AB109" i="27"/>
  <c r="AB105" i="27"/>
  <c r="AB104" i="27"/>
  <c r="AB103" i="27"/>
  <c r="AD102" i="27"/>
  <c r="AB102" i="27"/>
  <c r="Z102" i="27"/>
  <c r="Y102" i="27"/>
  <c r="AD101" i="27"/>
  <c r="AB101" i="27"/>
  <c r="Z101" i="27"/>
  <c r="U109" i="27"/>
  <c r="V109" i="27" s="1"/>
  <c r="U108" i="27"/>
  <c r="U107" i="27"/>
  <c r="U105" i="27"/>
  <c r="U104" i="27"/>
  <c r="U102" i="27"/>
  <c r="U103" i="27" s="1"/>
  <c r="P102" i="27"/>
  <c r="X102" i="27" s="1"/>
  <c r="P107" i="27"/>
  <c r="R107" i="27" s="1"/>
  <c r="AB95" i="27"/>
  <c r="Z95" i="27"/>
  <c r="X95" i="27"/>
  <c r="AB94" i="27"/>
  <c r="Z94" i="27"/>
  <c r="X94" i="27"/>
  <c r="AD93" i="27"/>
  <c r="AB93" i="27"/>
  <c r="Z93" i="27"/>
  <c r="Y93" i="27"/>
  <c r="X93" i="27"/>
  <c r="AD92" i="27"/>
  <c r="AB92" i="27"/>
  <c r="Z92" i="27"/>
  <c r="X92" i="27"/>
  <c r="U95" i="27"/>
  <c r="U94" i="27"/>
  <c r="V94" i="27" s="1"/>
  <c r="R96" i="27"/>
  <c r="AD86" i="27"/>
  <c r="AC86" i="27"/>
  <c r="AB86" i="27"/>
  <c r="AD85" i="27"/>
  <c r="AC85" i="27"/>
  <c r="AB85" i="27"/>
  <c r="AD84" i="27"/>
  <c r="AB84" i="27"/>
  <c r="AD83" i="27"/>
  <c r="AC83" i="27"/>
  <c r="AB83" i="27"/>
  <c r="AD82" i="27"/>
  <c r="AC82" i="27"/>
  <c r="AB82" i="27"/>
  <c r="Z82" i="27"/>
  <c r="Y82" i="27"/>
  <c r="X82" i="27"/>
  <c r="AD81" i="27"/>
  <c r="AC81" i="27"/>
  <c r="AB81" i="27"/>
  <c r="Z81" i="27"/>
  <c r="Y81" i="27"/>
  <c r="X81" i="27"/>
  <c r="AD80" i="27"/>
  <c r="AC80" i="27"/>
  <c r="AB80" i="27"/>
  <c r="Z80" i="27"/>
  <c r="V87" i="27"/>
  <c r="X200" i="27" l="1"/>
  <c r="R200" i="27"/>
  <c r="R150" i="27"/>
  <c r="S150" i="27"/>
  <c r="V150" i="27"/>
  <c r="T312" i="27"/>
  <c r="G8" i="49"/>
  <c r="G16" i="49"/>
  <c r="E9" i="49"/>
  <c r="P123" i="27"/>
  <c r="S184" i="27"/>
  <c r="AA184" i="27" s="1"/>
  <c r="AA251" i="27"/>
  <c r="AB251" i="27"/>
  <c r="U260" i="27"/>
  <c r="V260" i="27" s="1"/>
  <c r="AA232" i="27"/>
  <c r="V248" i="27"/>
  <c r="R249" i="27"/>
  <c r="U259" i="27"/>
  <c r="U269" i="27" s="1"/>
  <c r="V269" i="27" s="1"/>
  <c r="U268" i="27"/>
  <c r="V268" i="27" s="1"/>
  <c r="V250" i="27"/>
  <c r="AD250" i="27" s="1"/>
  <c r="R248" i="27"/>
  <c r="V249" i="27"/>
  <c r="Z209" i="27"/>
  <c r="S185" i="27"/>
  <c r="AA185" i="27" s="1"/>
  <c r="R228" i="27"/>
  <c r="R221" i="27"/>
  <c r="E210" i="27"/>
  <c r="Z210" i="27" s="1"/>
  <c r="R172" i="27"/>
  <c r="Z200" i="27"/>
  <c r="AB201" i="27"/>
  <c r="R208" i="27"/>
  <c r="V210" i="27"/>
  <c r="AD210" i="27" s="1"/>
  <c r="Y210" i="27"/>
  <c r="V208" i="27"/>
  <c r="AC201" i="27"/>
  <c r="AA201" i="27"/>
  <c r="AD201" i="27"/>
  <c r="Y184" i="27"/>
  <c r="Y185" i="27"/>
  <c r="S183" i="27"/>
  <c r="AA183" i="27" s="1"/>
  <c r="AC187" i="27"/>
  <c r="AD187" i="27"/>
  <c r="R185" i="27"/>
  <c r="Z185" i="27" s="1"/>
  <c r="R183" i="27"/>
  <c r="Z183" i="27" s="1"/>
  <c r="R180" i="27"/>
  <c r="R184" i="27"/>
  <c r="Z184" i="27" s="1"/>
  <c r="S180" i="27"/>
  <c r="R160" i="27"/>
  <c r="V105" i="27"/>
  <c r="R157" i="27"/>
  <c r="S160" i="27"/>
  <c r="Y163" i="27"/>
  <c r="Y164" i="27"/>
  <c r="Y153" i="27"/>
  <c r="Y150" i="27"/>
  <c r="AD143" i="27"/>
  <c r="X157" i="27"/>
  <c r="AC165" i="27"/>
  <c r="AB133" i="27"/>
  <c r="AC143" i="27"/>
  <c r="S157" i="27"/>
  <c r="S142" i="27"/>
  <c r="AA14" i="27"/>
  <c r="AA133" i="27"/>
  <c r="S153" i="27"/>
  <c r="S164" i="27"/>
  <c r="S161" i="27"/>
  <c r="AA110" i="27"/>
  <c r="P125" i="27"/>
  <c r="R125" i="27" s="1"/>
  <c r="AB110" i="27"/>
  <c r="P118" i="27"/>
  <c r="V107" i="27"/>
  <c r="P120" i="27"/>
  <c r="P122" i="27"/>
  <c r="P105" i="27"/>
  <c r="R105" i="27" s="1"/>
  <c r="P121" i="27"/>
  <c r="V108" i="27"/>
  <c r="U123" i="27"/>
  <c r="Q123" i="27" s="1"/>
  <c r="P119" i="27"/>
  <c r="U121" i="27"/>
  <c r="Q121" i="27" s="1"/>
  <c r="P124" i="27"/>
  <c r="U122" i="27"/>
  <c r="Q122" i="27" s="1"/>
  <c r="U120" i="27"/>
  <c r="Q120" i="27" s="1"/>
  <c r="Y120" i="27" s="1"/>
  <c r="V104" i="27"/>
  <c r="AC102" i="27"/>
  <c r="P103" i="27"/>
  <c r="R103" i="27" s="1"/>
  <c r="V95" i="27"/>
  <c r="P108" i="27"/>
  <c r="P104" i="27"/>
  <c r="V103" i="27"/>
  <c r="P109" i="27"/>
  <c r="P106" i="27"/>
  <c r="U106" i="27"/>
  <c r="P83" i="27"/>
  <c r="R83" i="27" s="1"/>
  <c r="V72" i="27"/>
  <c r="X71" i="27"/>
  <c r="Y71" i="27"/>
  <c r="AB71" i="27"/>
  <c r="AC71" i="27"/>
  <c r="AC70" i="27"/>
  <c r="AB70" i="27"/>
  <c r="AB69" i="27"/>
  <c r="AD68" i="27"/>
  <c r="AB68" i="27"/>
  <c r="AB67" i="27"/>
  <c r="AD66" i="27"/>
  <c r="AC66" i="27"/>
  <c r="AB66" i="27"/>
  <c r="Z66" i="27"/>
  <c r="Y66" i="27"/>
  <c r="AD65" i="27"/>
  <c r="AC65" i="27"/>
  <c r="AB65" i="27"/>
  <c r="Z65" i="27"/>
  <c r="Y65" i="27"/>
  <c r="X65" i="27"/>
  <c r="AD64" i="27"/>
  <c r="AB64" i="27"/>
  <c r="Z64" i="27"/>
  <c r="U69" i="27"/>
  <c r="U67" i="27"/>
  <c r="R71" i="27"/>
  <c r="P67" i="27"/>
  <c r="R67" i="27" s="1"/>
  <c r="P66" i="27"/>
  <c r="V165" i="27" l="1"/>
  <c r="V166" i="27" s="1"/>
  <c r="R211" i="27"/>
  <c r="V73" i="27"/>
  <c r="R123" i="27"/>
  <c r="R165" i="27"/>
  <c r="R143" i="27"/>
  <c r="S143" i="27"/>
  <c r="K5" i="49"/>
  <c r="R251" i="27"/>
  <c r="R253" i="27" s="1"/>
  <c r="P269" i="27"/>
  <c r="V251" i="27"/>
  <c r="R231" i="27"/>
  <c r="Z221" i="27"/>
  <c r="V211" i="27"/>
  <c r="R201" i="27"/>
  <c r="R187" i="27"/>
  <c r="S187" i="27"/>
  <c r="S165" i="27"/>
  <c r="R124" i="27"/>
  <c r="R122" i="27"/>
  <c r="P130" i="27"/>
  <c r="R120" i="27"/>
  <c r="P127" i="27"/>
  <c r="R117" i="27"/>
  <c r="P128" i="27"/>
  <c r="R118" i="27"/>
  <c r="R119" i="27"/>
  <c r="P129" i="27"/>
  <c r="R121" i="27"/>
  <c r="P131" i="27"/>
  <c r="R109" i="27"/>
  <c r="R108" i="27"/>
  <c r="V106" i="27"/>
  <c r="R104" i="27"/>
  <c r="V96" i="27"/>
  <c r="P84" i="27"/>
  <c r="P68" i="27"/>
  <c r="P69" i="27"/>
  <c r="S166" i="27" l="1"/>
  <c r="S311" i="27"/>
  <c r="G11" i="63"/>
  <c r="G24" i="63" s="1"/>
  <c r="R166" i="27"/>
  <c r="F11" i="63"/>
  <c r="I11" i="63" s="1"/>
  <c r="R269" i="27"/>
  <c r="R270" i="27" s="1"/>
  <c r="F15" i="49"/>
  <c r="R212" i="27"/>
  <c r="K11" i="49"/>
  <c r="V212" i="27"/>
  <c r="V97" i="27"/>
  <c r="V253" i="27"/>
  <c r="F11" i="49"/>
  <c r="K7" i="49"/>
  <c r="G13" i="49"/>
  <c r="K18" i="49"/>
  <c r="F13" i="49"/>
  <c r="F14" i="49"/>
  <c r="F18" i="49"/>
  <c r="G10" i="49"/>
  <c r="K15" i="49"/>
  <c r="F10" i="49"/>
  <c r="G11" i="49"/>
  <c r="V270" i="27"/>
  <c r="R241" i="27"/>
  <c r="F17" i="63" s="1"/>
  <c r="R128" i="27"/>
  <c r="R129" i="27"/>
  <c r="R131" i="27"/>
  <c r="R127" i="27"/>
  <c r="R130" i="27"/>
  <c r="V110" i="27"/>
  <c r="R84" i="27"/>
  <c r="R68" i="27"/>
  <c r="X56" i="27"/>
  <c r="Y56" i="27"/>
  <c r="AB56" i="27"/>
  <c r="AC56" i="27"/>
  <c r="AD56" i="27"/>
  <c r="AD55" i="27"/>
  <c r="AC55" i="27"/>
  <c r="AB55" i="27"/>
  <c r="AD54" i="27"/>
  <c r="AC54" i="27"/>
  <c r="AB54" i="27"/>
  <c r="AD53" i="27"/>
  <c r="AC53" i="27"/>
  <c r="AB53" i="27"/>
  <c r="AD52" i="27"/>
  <c r="AC52" i="27"/>
  <c r="AB52" i="27"/>
  <c r="AD50" i="27"/>
  <c r="AC50" i="27"/>
  <c r="AB50" i="27"/>
  <c r="Z50" i="27"/>
  <c r="AD49" i="27"/>
  <c r="AC49" i="27"/>
  <c r="AB49" i="27"/>
  <c r="Z49" i="27"/>
  <c r="Y49" i="27"/>
  <c r="AD48" i="27"/>
  <c r="AC48" i="27"/>
  <c r="AB48" i="27"/>
  <c r="Z48" i="27"/>
  <c r="R56" i="27"/>
  <c r="Z56" i="27" s="1"/>
  <c r="P49" i="27"/>
  <c r="X49" i="27" s="1"/>
  <c r="R54" i="27"/>
  <c r="R53" i="27"/>
  <c r="AB29" i="27"/>
  <c r="AB28" i="27"/>
  <c r="AB27" i="27"/>
  <c r="AB26" i="27"/>
  <c r="AB25" i="27"/>
  <c r="AB24" i="27"/>
  <c r="AB23" i="27"/>
  <c r="AC10" i="27"/>
  <c r="AD6" i="27"/>
  <c r="AD7" i="27"/>
  <c r="AD8" i="27"/>
  <c r="AD9" i="27"/>
  <c r="AD10" i="27"/>
  <c r="AD11" i="27"/>
  <c r="AD12" i="27"/>
  <c r="AD13" i="27"/>
  <c r="AC7" i="27"/>
  <c r="AC8" i="27"/>
  <c r="AC9" i="27"/>
  <c r="AC11" i="27"/>
  <c r="AC12" i="27"/>
  <c r="AC13" i="27"/>
  <c r="P29" i="27"/>
  <c r="X29" i="27" s="1"/>
  <c r="Q28" i="27"/>
  <c r="R28" i="27" s="1"/>
  <c r="R13" i="27"/>
  <c r="X14" i="27"/>
  <c r="X7" i="27"/>
  <c r="Y7" i="27"/>
  <c r="Z7" i="27"/>
  <c r="Y8" i="27"/>
  <c r="Z8" i="27"/>
  <c r="X13" i="27"/>
  <c r="AB13" i="27"/>
  <c r="AB12" i="27"/>
  <c r="AB11" i="27"/>
  <c r="AB10" i="27"/>
  <c r="AB9" i="27"/>
  <c r="AB8" i="27"/>
  <c r="AB7" i="27"/>
  <c r="AB6" i="27"/>
  <c r="Q6" i="30"/>
  <c r="R6" i="30" s="1"/>
  <c r="Q24" i="63" l="1"/>
  <c r="V272" i="27"/>
  <c r="V311" i="27"/>
  <c r="K19" i="63"/>
  <c r="I17" i="63"/>
  <c r="R272" i="27"/>
  <c r="Q257" i="27"/>
  <c r="Y257" i="27" s="1"/>
  <c r="F19" i="49"/>
  <c r="I19" i="49" s="1"/>
  <c r="I14" i="49"/>
  <c r="I18" i="49"/>
  <c r="I15" i="49"/>
  <c r="I13" i="49"/>
  <c r="I11" i="49"/>
  <c r="I10" i="49"/>
  <c r="V111" i="27"/>
  <c r="V39" i="27"/>
  <c r="AB39" i="27"/>
  <c r="AD25" i="27"/>
  <c r="R29" i="27"/>
  <c r="R39" i="27" s="1"/>
  <c r="R87" i="27"/>
  <c r="E2" i="49"/>
  <c r="K19" i="49"/>
  <c r="F17" i="49"/>
  <c r="K8" i="49"/>
  <c r="K9" i="49"/>
  <c r="AB14" i="27"/>
  <c r="AD14" i="27"/>
  <c r="AC14" i="27"/>
  <c r="R132" i="27"/>
  <c r="R133" i="27"/>
  <c r="R9" i="27"/>
  <c r="R10" i="27"/>
  <c r="R11" i="27"/>
  <c r="Z13" i="27"/>
  <c r="R311" i="27" l="1"/>
  <c r="F9" i="63"/>
  <c r="I9" i="63" s="1"/>
  <c r="K3" i="63"/>
  <c r="K24" i="63" s="1"/>
  <c r="S24" i="63" s="1"/>
  <c r="F3" i="63"/>
  <c r="I17" i="49"/>
  <c r="V44" i="27"/>
  <c r="AD39" i="27"/>
  <c r="Z29" i="27"/>
  <c r="F6" i="49"/>
  <c r="K3" i="49"/>
  <c r="F9" i="49"/>
  <c r="I3" i="63" l="1"/>
  <c r="I6" i="49"/>
  <c r="Y23" i="27"/>
  <c r="F3" i="49"/>
  <c r="I9" i="49"/>
  <c r="V34" i="28"/>
  <c r="X34" i="28"/>
  <c r="Y34" i="28"/>
  <c r="Z34" i="28"/>
  <c r="AA34" i="28"/>
  <c r="V35" i="28"/>
  <c r="X35" i="28"/>
  <c r="Y35" i="28"/>
  <c r="Z35" i="28"/>
  <c r="AA35" i="28"/>
  <c r="U36" i="28"/>
  <c r="V36" i="28"/>
  <c r="W36" i="28"/>
  <c r="X36" i="28"/>
  <c r="Y36" i="28"/>
  <c r="Z36" i="28"/>
  <c r="AA36" i="28"/>
  <c r="AA33" i="28"/>
  <c r="Z33" i="28"/>
  <c r="Y33" i="28"/>
  <c r="X33" i="28"/>
  <c r="V33" i="28"/>
  <c r="AA32" i="28"/>
  <c r="Z32" i="28"/>
  <c r="Y32" i="28"/>
  <c r="X32" i="28"/>
  <c r="V32" i="28"/>
  <c r="AA31" i="28"/>
  <c r="Z31" i="28"/>
  <c r="Y31" i="28"/>
  <c r="X31" i="28"/>
  <c r="W31" i="28"/>
  <c r="V31" i="28"/>
  <c r="U31" i="28"/>
  <c r="AA30" i="28"/>
  <c r="Z30" i="28"/>
  <c r="Y30" i="28"/>
  <c r="X30" i="28"/>
  <c r="W30" i="28"/>
  <c r="V30" i="28"/>
  <c r="U30" i="28"/>
  <c r="AA29" i="28"/>
  <c r="Z29" i="28"/>
  <c r="Y29" i="28"/>
  <c r="X29" i="28"/>
  <c r="W29" i="28"/>
  <c r="V29" i="28"/>
  <c r="U29" i="28"/>
  <c r="U35" i="28"/>
  <c r="M34" i="28"/>
  <c r="U34" i="28" s="1"/>
  <c r="M33" i="28"/>
  <c r="U33" i="28" s="1"/>
  <c r="M32" i="28"/>
  <c r="U32" i="28" s="1"/>
  <c r="S37" i="28"/>
  <c r="R37" i="28"/>
  <c r="R285" i="28" s="1"/>
  <c r="Q37" i="28"/>
  <c r="P37" i="28"/>
  <c r="E34" i="28"/>
  <c r="E35" i="28"/>
  <c r="E33" i="28"/>
  <c r="E32" i="28"/>
  <c r="F37" i="28"/>
  <c r="G37" i="28"/>
  <c r="H37" i="28"/>
  <c r="H285" i="28" s="1"/>
  <c r="I37" i="28"/>
  <c r="J13" i="32"/>
  <c r="S12" i="32"/>
  <c r="F12" i="32"/>
  <c r="T11" i="32"/>
  <c r="S11" i="32"/>
  <c r="F11" i="32"/>
  <c r="T10" i="32"/>
  <c r="S10" i="32"/>
  <c r="F10" i="32"/>
  <c r="T9" i="32"/>
  <c r="S9" i="32"/>
  <c r="F9" i="32"/>
  <c r="T8" i="32"/>
  <c r="S8" i="32"/>
  <c r="F8" i="32"/>
  <c r="T7" i="32"/>
  <c r="S7" i="32"/>
  <c r="P7" i="32"/>
  <c r="F7" i="32"/>
  <c r="T6" i="32"/>
  <c r="S6" i="32"/>
  <c r="F6" i="32"/>
  <c r="U6" i="32" s="1"/>
  <c r="U9" i="32" l="1"/>
  <c r="U10" i="32"/>
  <c r="U11" i="32"/>
  <c r="F13" i="32"/>
  <c r="U7" i="32"/>
  <c r="I3" i="49"/>
  <c r="O34" i="28"/>
  <c r="W34" i="28" s="1"/>
  <c r="O35" i="28"/>
  <c r="W35" i="28" s="1"/>
  <c r="Z37" i="28"/>
  <c r="AA37" i="28"/>
  <c r="X37" i="28"/>
  <c r="O32" i="28"/>
  <c r="W32" i="28" s="1"/>
  <c r="Y37" i="28"/>
  <c r="O33" i="28"/>
  <c r="W33" i="28" s="1"/>
  <c r="E37" i="28"/>
  <c r="U8" i="32"/>
  <c r="H23" i="56" l="1"/>
  <c r="O37" i="28"/>
  <c r="F26" i="63" s="1"/>
  <c r="W37" i="28"/>
  <c r="H26" i="63" l="1"/>
  <c r="J23" i="56"/>
  <c r="J42" i="56" s="1"/>
  <c r="J78" i="56" s="1"/>
  <c r="H42" i="56"/>
  <c r="F26" i="49"/>
  <c r="P50" i="29"/>
  <c r="R50" i="29"/>
  <c r="S50" i="29"/>
  <c r="O48" i="29"/>
  <c r="O49" i="29"/>
  <c r="O47" i="29"/>
  <c r="AA39" i="29"/>
  <c r="Z39" i="29"/>
  <c r="Z40" i="29" s="1"/>
  <c r="Y39" i="29"/>
  <c r="X39" i="29"/>
  <c r="V39" i="29"/>
  <c r="AA38" i="29"/>
  <c r="Y38" i="29"/>
  <c r="X38" i="29"/>
  <c r="AA37" i="29"/>
  <c r="Y37" i="29"/>
  <c r="X37" i="29"/>
  <c r="U37" i="29"/>
  <c r="O39" i="29"/>
  <c r="N38" i="29"/>
  <c r="O38" i="29" s="1"/>
  <c r="O37" i="29"/>
  <c r="Z31" i="29"/>
  <c r="Z86" i="29" s="1"/>
  <c r="R31" i="29"/>
  <c r="R86" i="29" s="1"/>
  <c r="Q31" i="29"/>
  <c r="Q86" i="29" s="1"/>
  <c r="S31" i="29"/>
  <c r="S86" i="29" s="1"/>
  <c r="U12" i="29"/>
  <c r="V12" i="29"/>
  <c r="W12" i="29"/>
  <c r="X12" i="29"/>
  <c r="Y12" i="29"/>
  <c r="Z12" i="29"/>
  <c r="AA12" i="29"/>
  <c r="U13" i="29"/>
  <c r="V13" i="29"/>
  <c r="X13" i="29"/>
  <c r="Y13" i="29"/>
  <c r="Z13" i="29"/>
  <c r="AA13" i="29"/>
  <c r="U14" i="29"/>
  <c r="X14" i="29"/>
  <c r="Y14" i="29"/>
  <c r="Z14" i="29"/>
  <c r="AA14" i="29"/>
  <c r="U15" i="29"/>
  <c r="X15" i="29"/>
  <c r="Y15" i="29"/>
  <c r="Z15" i="29"/>
  <c r="AA15" i="29"/>
  <c r="V16" i="29"/>
  <c r="X16" i="29"/>
  <c r="Y16" i="29"/>
  <c r="Z16" i="29"/>
  <c r="AA16" i="29"/>
  <c r="U18" i="29"/>
  <c r="V18" i="29"/>
  <c r="W18" i="29"/>
  <c r="X18" i="29"/>
  <c r="Y18" i="29"/>
  <c r="Z18" i="29"/>
  <c r="AA18" i="29"/>
  <c r="U19" i="29"/>
  <c r="X19" i="29"/>
  <c r="Y19" i="29"/>
  <c r="Z19" i="29"/>
  <c r="AA19" i="29"/>
  <c r="U20" i="29"/>
  <c r="X20" i="29"/>
  <c r="Y20" i="29"/>
  <c r="Z20" i="29"/>
  <c r="AA20" i="29"/>
  <c r="U21" i="29"/>
  <c r="V21" i="29"/>
  <c r="X21" i="29"/>
  <c r="Y21" i="29"/>
  <c r="Z21" i="29"/>
  <c r="AA21" i="29"/>
  <c r="O21" i="29"/>
  <c r="N20" i="29"/>
  <c r="N19" i="29"/>
  <c r="M16" i="29"/>
  <c r="N15" i="29"/>
  <c r="N14" i="29"/>
  <c r="O13" i="29"/>
  <c r="R123" i="30"/>
  <c r="R124" i="30"/>
  <c r="R125" i="30"/>
  <c r="Z125" i="30" s="1"/>
  <c r="R126" i="30"/>
  <c r="Z126" i="30" s="1"/>
  <c r="R127" i="30"/>
  <c r="Z127" i="30" s="1"/>
  <c r="R76" i="30"/>
  <c r="AD76" i="30"/>
  <c r="AC76" i="30"/>
  <c r="X76" i="30"/>
  <c r="AD75" i="30"/>
  <c r="AC75" i="30"/>
  <c r="X75" i="30"/>
  <c r="X74" i="30"/>
  <c r="AD73" i="30"/>
  <c r="AC73" i="30"/>
  <c r="AA73" i="30"/>
  <c r="Z73" i="30"/>
  <c r="Y73" i="30"/>
  <c r="X73" i="30"/>
  <c r="R75" i="30"/>
  <c r="S75" i="30"/>
  <c r="S48" i="30"/>
  <c r="G52" i="63" s="1"/>
  <c r="AD47" i="30"/>
  <c r="AC47" i="30"/>
  <c r="AA47" i="30"/>
  <c r="Z47" i="30"/>
  <c r="X47" i="30"/>
  <c r="AD46" i="30"/>
  <c r="AC46" i="30"/>
  <c r="AA46" i="30"/>
  <c r="AD45" i="30"/>
  <c r="AC45" i="30"/>
  <c r="AA45" i="30"/>
  <c r="AD44" i="30"/>
  <c r="AA44" i="30"/>
  <c r="Z44" i="30"/>
  <c r="X44" i="30"/>
  <c r="Q46" i="30"/>
  <c r="R46" i="30" s="1"/>
  <c r="Q45" i="30"/>
  <c r="R45" i="30" s="1"/>
  <c r="X37" i="30"/>
  <c r="X38" i="30"/>
  <c r="X22" i="30"/>
  <c r="Y22" i="30"/>
  <c r="AA22" i="30"/>
  <c r="AB39" i="30"/>
  <c r="T39" i="30"/>
  <c r="T137" i="30" s="1"/>
  <c r="U39" i="30"/>
  <c r="V39" i="30"/>
  <c r="AD22" i="30"/>
  <c r="AC22" i="30"/>
  <c r="AD38" i="30"/>
  <c r="AC38" i="30"/>
  <c r="AD37" i="30"/>
  <c r="AC37" i="30"/>
  <c r="AD36" i="30"/>
  <c r="AA36" i="30"/>
  <c r="Z36" i="30"/>
  <c r="Y36" i="30"/>
  <c r="X36" i="30"/>
  <c r="Q37" i="30"/>
  <c r="R22" i="30"/>
  <c r="Q20" i="30"/>
  <c r="Q29" i="30"/>
  <c r="R29" i="30" s="1"/>
  <c r="Q28" i="30"/>
  <c r="R28" i="30" s="1"/>
  <c r="Q26" i="30"/>
  <c r="Q25" i="30"/>
  <c r="R25" i="30" s="1"/>
  <c r="S31" i="30"/>
  <c r="G49" i="63" s="1"/>
  <c r="X23" i="30"/>
  <c r="Y23" i="30"/>
  <c r="AA23" i="30"/>
  <c r="AC23" i="30"/>
  <c r="AD23" i="30"/>
  <c r="X24" i="30"/>
  <c r="Y24" i="30"/>
  <c r="AA24" i="30"/>
  <c r="AC24" i="30"/>
  <c r="AD24" i="30"/>
  <c r="X25" i="30"/>
  <c r="AA25" i="30"/>
  <c r="AC25" i="30"/>
  <c r="AD25" i="30"/>
  <c r="X26" i="30"/>
  <c r="AA26" i="30"/>
  <c r="AC26" i="30"/>
  <c r="AD26" i="30"/>
  <c r="Y27" i="30"/>
  <c r="Z27" i="30"/>
  <c r="AA27" i="30"/>
  <c r="AC27" i="30"/>
  <c r="AD27" i="30"/>
  <c r="X28" i="30"/>
  <c r="AA28" i="30"/>
  <c r="AC28" i="30"/>
  <c r="AD28" i="30"/>
  <c r="X29" i="30"/>
  <c r="AA29" i="30"/>
  <c r="AC29" i="30"/>
  <c r="AD29" i="30"/>
  <c r="X30" i="30"/>
  <c r="Y30" i="30"/>
  <c r="AA30" i="30"/>
  <c r="AC30" i="30"/>
  <c r="AD30" i="30"/>
  <c r="AD21" i="30"/>
  <c r="AC21" i="30"/>
  <c r="AA21" i="30"/>
  <c r="AD20" i="30"/>
  <c r="AC20" i="30"/>
  <c r="AA20" i="30"/>
  <c r="AD19" i="30"/>
  <c r="AC19" i="30"/>
  <c r="AA19" i="30"/>
  <c r="X19" i="30"/>
  <c r="AD18" i="30"/>
  <c r="AC18" i="30"/>
  <c r="AA18" i="30"/>
  <c r="Z18" i="30"/>
  <c r="Y18" i="30"/>
  <c r="X18" i="30"/>
  <c r="Z23" i="30"/>
  <c r="R24" i="30"/>
  <c r="R30" i="30"/>
  <c r="V31" i="30"/>
  <c r="U31" i="30"/>
  <c r="AA84" i="31"/>
  <c r="AC84" i="31"/>
  <c r="AD84" i="31"/>
  <c r="AD83" i="31"/>
  <c r="AC83" i="31"/>
  <c r="AA83" i="31"/>
  <c r="AD82" i="31"/>
  <c r="AC82" i="31"/>
  <c r="AA82" i="31"/>
  <c r="Z82" i="31"/>
  <c r="Y82" i="31"/>
  <c r="X82" i="31"/>
  <c r="AD81" i="31"/>
  <c r="AC81" i="31"/>
  <c r="AA81" i="31"/>
  <c r="Y81" i="31"/>
  <c r="AD80" i="31"/>
  <c r="AC80" i="31"/>
  <c r="AA80" i="31"/>
  <c r="Y80" i="31"/>
  <c r="AD79" i="31"/>
  <c r="AC79" i="31"/>
  <c r="AA79" i="31"/>
  <c r="Z79" i="31"/>
  <c r="Y79" i="31"/>
  <c r="X79" i="31"/>
  <c r="AD78" i="31"/>
  <c r="AC78" i="31"/>
  <c r="AA78" i="31"/>
  <c r="Z78" i="31"/>
  <c r="Y78" i="31"/>
  <c r="X78" i="31"/>
  <c r="AD77" i="31"/>
  <c r="AC77" i="31"/>
  <c r="AA77" i="31"/>
  <c r="Z77" i="31"/>
  <c r="Y77" i="31"/>
  <c r="X77" i="31"/>
  <c r="T49" i="31"/>
  <c r="T115" i="31" s="1"/>
  <c r="U49" i="31"/>
  <c r="AB49" i="31"/>
  <c r="AC48" i="31"/>
  <c r="X48" i="31"/>
  <c r="AC47" i="31"/>
  <c r="X47" i="31"/>
  <c r="AD46" i="31"/>
  <c r="AA46" i="31"/>
  <c r="Z46" i="31"/>
  <c r="Y46" i="31"/>
  <c r="X46" i="31"/>
  <c r="S48" i="31"/>
  <c r="R48" i="31"/>
  <c r="S47" i="31"/>
  <c r="R47" i="31"/>
  <c r="AB41" i="31"/>
  <c r="AD40" i="31"/>
  <c r="AC40" i="31"/>
  <c r="AA40" i="31"/>
  <c r="Y40" i="31"/>
  <c r="X40" i="31"/>
  <c r="AD39" i="31"/>
  <c r="AC39" i="31"/>
  <c r="AA39" i="31"/>
  <c r="X39" i="31"/>
  <c r="AD38" i="31"/>
  <c r="AC38" i="31"/>
  <c r="AA38" i="31"/>
  <c r="X38" i="31"/>
  <c r="AD37" i="31"/>
  <c r="AC37" i="31"/>
  <c r="AA37" i="31"/>
  <c r="Z37" i="31"/>
  <c r="Y37" i="31"/>
  <c r="X37" i="31"/>
  <c r="R39" i="31"/>
  <c r="Q38" i="31"/>
  <c r="R38" i="31" s="1"/>
  <c r="AB32" i="31"/>
  <c r="X24" i="31"/>
  <c r="Y24" i="31"/>
  <c r="Z24" i="31"/>
  <c r="AA24" i="31"/>
  <c r="AC24" i="31"/>
  <c r="AD24" i="31"/>
  <c r="X25" i="31"/>
  <c r="Y25" i="31"/>
  <c r="AA25" i="31"/>
  <c r="AC25" i="31"/>
  <c r="AD25" i="31"/>
  <c r="X26" i="31"/>
  <c r="AA26" i="31"/>
  <c r="AC26" i="31"/>
  <c r="AD26" i="31"/>
  <c r="X27" i="31"/>
  <c r="AA27" i="31"/>
  <c r="AC27" i="31"/>
  <c r="AD27" i="31"/>
  <c r="X28" i="31"/>
  <c r="Y28" i="31"/>
  <c r="Z28" i="31"/>
  <c r="AA28" i="31"/>
  <c r="AC28" i="31"/>
  <c r="AD28" i="31"/>
  <c r="X29" i="31"/>
  <c r="AA29" i="31"/>
  <c r="AC29" i="31"/>
  <c r="AD29" i="31"/>
  <c r="X30" i="31"/>
  <c r="AA30" i="31"/>
  <c r="AC30" i="31"/>
  <c r="AD30" i="31"/>
  <c r="X31" i="31"/>
  <c r="Y31" i="31"/>
  <c r="AA31" i="31"/>
  <c r="AC31" i="31"/>
  <c r="AD31" i="31"/>
  <c r="AD22" i="31"/>
  <c r="AC22" i="31"/>
  <c r="AA22" i="31"/>
  <c r="AD21" i="31"/>
  <c r="AC21" i="31"/>
  <c r="AA21" i="31"/>
  <c r="AD20" i="31"/>
  <c r="AC20" i="31"/>
  <c r="AA20" i="31"/>
  <c r="X20" i="31"/>
  <c r="AD19" i="31"/>
  <c r="AC19" i="31"/>
  <c r="AA19" i="31"/>
  <c r="Z19" i="31"/>
  <c r="Y19" i="31"/>
  <c r="X19" i="31"/>
  <c r="Y20" i="31"/>
  <c r="Q21" i="31"/>
  <c r="Q22" i="31" s="1"/>
  <c r="R22" i="31" s="1"/>
  <c r="V32" i="31"/>
  <c r="U32" i="31"/>
  <c r="R31" i="31"/>
  <c r="Q30" i="31"/>
  <c r="R30" i="31" s="1"/>
  <c r="Q29" i="31"/>
  <c r="R29" i="31" s="1"/>
  <c r="R27" i="31"/>
  <c r="Q26" i="31"/>
  <c r="R26" i="31" s="1"/>
  <c r="R25" i="31"/>
  <c r="Z189" i="28"/>
  <c r="Y189" i="28"/>
  <c r="V189" i="28"/>
  <c r="U189" i="28"/>
  <c r="Z188" i="28"/>
  <c r="Y188" i="28"/>
  <c r="V188" i="28"/>
  <c r="U188" i="28"/>
  <c r="S189" i="28"/>
  <c r="P189" i="28"/>
  <c r="O189" i="28"/>
  <c r="S188" i="28"/>
  <c r="P188" i="28"/>
  <c r="O188" i="28"/>
  <c r="N153" i="28"/>
  <c r="D153" i="28"/>
  <c r="N152" i="28"/>
  <c r="D152" i="28"/>
  <c r="N154" i="28"/>
  <c r="D154" i="28"/>
  <c r="N147" i="28"/>
  <c r="N111" i="28"/>
  <c r="O111" i="28" s="1"/>
  <c r="N75" i="28"/>
  <c r="O75" i="28" s="1"/>
  <c r="N76" i="28"/>
  <c r="D76" i="28"/>
  <c r="AA162" i="28"/>
  <c r="Z162" i="28"/>
  <c r="Y162" i="28"/>
  <c r="X162" i="28"/>
  <c r="V162" i="28"/>
  <c r="U162" i="28"/>
  <c r="AA161" i="28"/>
  <c r="Z161" i="28"/>
  <c r="Y161" i="28"/>
  <c r="X161" i="28"/>
  <c r="V161" i="28"/>
  <c r="U161" i="28"/>
  <c r="AA160" i="28"/>
  <c r="Y160" i="28"/>
  <c r="X160" i="28"/>
  <c r="W160" i="28"/>
  <c r="V160" i="28"/>
  <c r="U160" i="28"/>
  <c r="O162" i="28"/>
  <c r="O161" i="28"/>
  <c r="U152" i="28"/>
  <c r="U153" i="28"/>
  <c r="U154" i="28"/>
  <c r="AA154" i="28"/>
  <c r="Z154" i="28"/>
  <c r="Y154" i="28"/>
  <c r="X154" i="28"/>
  <c r="AA153" i="28"/>
  <c r="Z153" i="28"/>
  <c r="Y153" i="28"/>
  <c r="X153" i="28"/>
  <c r="AA152" i="28"/>
  <c r="Z152" i="28"/>
  <c r="Y152" i="28"/>
  <c r="X152" i="28"/>
  <c r="AA151" i="28"/>
  <c r="Z151" i="28"/>
  <c r="Y151" i="28"/>
  <c r="X151" i="28"/>
  <c r="U151" i="28"/>
  <c r="AA150" i="28"/>
  <c r="Z150" i="28"/>
  <c r="Y150" i="28"/>
  <c r="X150" i="28"/>
  <c r="U150" i="28"/>
  <c r="AA149" i="28"/>
  <c r="Z149" i="28"/>
  <c r="Y149" i="28"/>
  <c r="X149" i="28"/>
  <c r="W149" i="28"/>
  <c r="V149" i="28"/>
  <c r="U149" i="28"/>
  <c r="AA148" i="28"/>
  <c r="Z148" i="28"/>
  <c r="Y148" i="28"/>
  <c r="X148" i="28"/>
  <c r="U148" i="28"/>
  <c r="AA147" i="28"/>
  <c r="Z147" i="28"/>
  <c r="Y147" i="28"/>
  <c r="X147" i="28"/>
  <c r="U147" i="28"/>
  <c r="AA146" i="28"/>
  <c r="Z146" i="28"/>
  <c r="Y146" i="28"/>
  <c r="X146" i="28"/>
  <c r="U146" i="28"/>
  <c r="AA145" i="28"/>
  <c r="Z145" i="28"/>
  <c r="Y145" i="28"/>
  <c r="X145" i="28"/>
  <c r="U145" i="28"/>
  <c r="AA144" i="28"/>
  <c r="Z144" i="28"/>
  <c r="Y144" i="28"/>
  <c r="X144" i="28"/>
  <c r="W144" i="28"/>
  <c r="V144" i="28"/>
  <c r="U144" i="28"/>
  <c r="AA143" i="28"/>
  <c r="Y143" i="28"/>
  <c r="X143" i="28"/>
  <c r="W143" i="28"/>
  <c r="V143" i="28"/>
  <c r="U143" i="28"/>
  <c r="O132" i="28"/>
  <c r="O133" i="28"/>
  <c r="O134" i="28"/>
  <c r="O135" i="28"/>
  <c r="O136" i="28"/>
  <c r="O131" i="28"/>
  <c r="AA137" i="28"/>
  <c r="Z137" i="28"/>
  <c r="Y137" i="28"/>
  <c r="X137" i="28"/>
  <c r="W137" i="28"/>
  <c r="V137" i="28"/>
  <c r="U137" i="28"/>
  <c r="AA136" i="28"/>
  <c r="Z136" i="28"/>
  <c r="Y136" i="28"/>
  <c r="X136" i="28"/>
  <c r="U136" i="28"/>
  <c r="AA135" i="28"/>
  <c r="Z135" i="28"/>
  <c r="Y135" i="28"/>
  <c r="X135" i="28"/>
  <c r="AA134" i="28"/>
  <c r="Z134" i="28"/>
  <c r="Y134" i="28"/>
  <c r="X134" i="28"/>
  <c r="U134" i="28"/>
  <c r="AA133" i="28"/>
  <c r="Z133" i="28"/>
  <c r="Y133" i="28"/>
  <c r="X133" i="28"/>
  <c r="U133" i="28"/>
  <c r="AA132" i="28"/>
  <c r="Z132" i="28"/>
  <c r="Y132" i="28"/>
  <c r="X132" i="28"/>
  <c r="U132" i="28"/>
  <c r="AA131" i="28"/>
  <c r="Z131" i="28"/>
  <c r="Y131" i="28"/>
  <c r="X131" i="28"/>
  <c r="V131" i="28"/>
  <c r="U131" i="28"/>
  <c r="AA130" i="28"/>
  <c r="Z130" i="28"/>
  <c r="Y130" i="28"/>
  <c r="X130" i="28"/>
  <c r="V130" i="28"/>
  <c r="U130" i="28"/>
  <c r="Z129" i="28"/>
  <c r="Y129" i="28"/>
  <c r="U129" i="28"/>
  <c r="Z128" i="28"/>
  <c r="Y128" i="28"/>
  <c r="U128" i="28"/>
  <c r="AA127" i="28"/>
  <c r="Y127" i="28"/>
  <c r="X127" i="28"/>
  <c r="W127" i="28"/>
  <c r="V127" i="28"/>
  <c r="U127" i="28"/>
  <c r="S120" i="28"/>
  <c r="I120" i="28"/>
  <c r="P129" i="28"/>
  <c r="S129" i="28" s="1"/>
  <c r="O129" i="28"/>
  <c r="P128" i="28"/>
  <c r="O128" i="28"/>
  <c r="Q121" i="28"/>
  <c r="Q285" i="28" s="1"/>
  <c r="U115" i="28"/>
  <c r="V115" i="28"/>
  <c r="Y115" i="28"/>
  <c r="Z115" i="28"/>
  <c r="AA115" i="28"/>
  <c r="U116" i="28"/>
  <c r="V116" i="28"/>
  <c r="Y116" i="28"/>
  <c r="Z116" i="28"/>
  <c r="AA116" i="28"/>
  <c r="U117" i="28"/>
  <c r="V117" i="28"/>
  <c r="Y117" i="28"/>
  <c r="Z117" i="28"/>
  <c r="AA117" i="28"/>
  <c r="V118" i="28"/>
  <c r="Y118" i="28"/>
  <c r="Z118" i="28"/>
  <c r="AA118" i="28"/>
  <c r="U119" i="28"/>
  <c r="V119" i="28"/>
  <c r="W119" i="28"/>
  <c r="X119" i="28"/>
  <c r="Y119" i="28"/>
  <c r="Z119" i="28"/>
  <c r="AA119" i="28"/>
  <c r="U120" i="28"/>
  <c r="V120" i="28"/>
  <c r="Y120" i="28"/>
  <c r="Z120" i="28"/>
  <c r="AA114" i="28"/>
  <c r="Z114" i="28"/>
  <c r="Y114" i="28"/>
  <c r="AA113" i="28"/>
  <c r="Z113" i="28"/>
  <c r="Y113" i="28"/>
  <c r="AA112" i="28"/>
  <c r="Z112" i="28"/>
  <c r="Y112" i="28"/>
  <c r="V112" i="28"/>
  <c r="U112" i="28"/>
  <c r="Z111" i="28"/>
  <c r="Y111" i="28"/>
  <c r="U111" i="28"/>
  <c r="AA110" i="28"/>
  <c r="Y110" i="28"/>
  <c r="X110" i="28"/>
  <c r="W110" i="28"/>
  <c r="V110" i="28"/>
  <c r="U110" i="28"/>
  <c r="P120" i="28"/>
  <c r="O120" i="28"/>
  <c r="O118" i="28"/>
  <c r="O117" i="28"/>
  <c r="O115" i="28"/>
  <c r="P114" i="28"/>
  <c r="M113" i="28"/>
  <c r="P112" i="28"/>
  <c r="O112" i="28"/>
  <c r="U65" i="28"/>
  <c r="V65" i="28"/>
  <c r="W65" i="28"/>
  <c r="X65" i="28"/>
  <c r="Y65" i="28"/>
  <c r="Z65" i="28"/>
  <c r="AA65" i="28"/>
  <c r="U66" i="28"/>
  <c r="V66" i="28"/>
  <c r="W66" i="28"/>
  <c r="X66" i="28"/>
  <c r="Y66" i="28"/>
  <c r="Z66" i="28"/>
  <c r="AA66" i="28"/>
  <c r="U67" i="28"/>
  <c r="V67" i="28"/>
  <c r="X67" i="28"/>
  <c r="Y67" i="28"/>
  <c r="Z67" i="28"/>
  <c r="AA67" i="28"/>
  <c r="U68" i="28"/>
  <c r="X68" i="28"/>
  <c r="Y68" i="28"/>
  <c r="Z68" i="28"/>
  <c r="AA68" i="28"/>
  <c r="U69" i="28"/>
  <c r="V69" i="28"/>
  <c r="W69" i="28"/>
  <c r="X69" i="28"/>
  <c r="Y69" i="28"/>
  <c r="Z69" i="28"/>
  <c r="AA69" i="28"/>
  <c r="V70" i="28"/>
  <c r="W70" i="28"/>
  <c r="X70" i="28"/>
  <c r="Y70" i="28"/>
  <c r="Z70" i="28"/>
  <c r="AA70" i="28"/>
  <c r="U71" i="28"/>
  <c r="V71" i="28"/>
  <c r="X71" i="28"/>
  <c r="Y71" i="28"/>
  <c r="Z71" i="28"/>
  <c r="AA71" i="28"/>
  <c r="X72" i="28"/>
  <c r="Y72" i="28"/>
  <c r="Z72" i="28"/>
  <c r="AA72" i="28"/>
  <c r="U73" i="28"/>
  <c r="X73" i="28"/>
  <c r="Y73" i="28"/>
  <c r="Z73" i="28"/>
  <c r="AA73" i="28"/>
  <c r="V74" i="28"/>
  <c r="W74" i="28"/>
  <c r="X74" i="28"/>
  <c r="Y74" i="28"/>
  <c r="Z74" i="28"/>
  <c r="AA74" i="28"/>
  <c r="U75" i="28"/>
  <c r="X75" i="28"/>
  <c r="Y75" i="28"/>
  <c r="Z75" i="28"/>
  <c r="AA75" i="28"/>
  <c r="U76" i="28"/>
  <c r="X76" i="28"/>
  <c r="Y76" i="28"/>
  <c r="Z76" i="28"/>
  <c r="AA76" i="28"/>
  <c r="U77" i="28"/>
  <c r="V77" i="28"/>
  <c r="X77" i="28"/>
  <c r="Y77" i="28"/>
  <c r="Z77" i="28"/>
  <c r="AA77" i="28"/>
  <c r="AA64" i="28"/>
  <c r="Z64" i="28"/>
  <c r="Y64" i="28"/>
  <c r="X64" i="28"/>
  <c r="W64" i="28"/>
  <c r="V64" i="28"/>
  <c r="U64" i="28"/>
  <c r="AA63" i="28"/>
  <c r="Z63" i="28"/>
  <c r="Y63" i="28"/>
  <c r="U63" i="28"/>
  <c r="AA62" i="28"/>
  <c r="Z62" i="28"/>
  <c r="Y62" i="28"/>
  <c r="U62" i="28"/>
  <c r="AA61" i="28"/>
  <c r="Z61" i="28"/>
  <c r="Y61" i="28"/>
  <c r="V61" i="28"/>
  <c r="U61" i="28"/>
  <c r="AA60" i="28"/>
  <c r="Z60" i="28"/>
  <c r="Y60" i="28"/>
  <c r="V60" i="28"/>
  <c r="U60" i="28"/>
  <c r="AA59" i="28"/>
  <c r="Z59" i="28"/>
  <c r="Y59" i="28"/>
  <c r="X59" i="28"/>
  <c r="W59" i="28"/>
  <c r="V59" i="28"/>
  <c r="U59" i="28"/>
  <c r="O72" i="28"/>
  <c r="O73" i="28"/>
  <c r="O77" i="28"/>
  <c r="O71" i="28"/>
  <c r="N68" i="28"/>
  <c r="O68" i="28" s="1"/>
  <c r="O67" i="28"/>
  <c r="O63" i="28"/>
  <c r="P62" i="28"/>
  <c r="O62" i="28"/>
  <c r="P61" i="28"/>
  <c r="O61" i="28"/>
  <c r="P60" i="28"/>
  <c r="O60" i="28"/>
  <c r="M50" i="49" l="1"/>
  <c r="M50" i="63"/>
  <c r="S111" i="28"/>
  <c r="S121" i="28" s="1"/>
  <c r="M31" i="63" s="1"/>
  <c r="O163" i="28"/>
  <c r="F34" i="63" s="1"/>
  <c r="O147" i="28"/>
  <c r="O152" i="28"/>
  <c r="O154" i="28"/>
  <c r="O153" i="28"/>
  <c r="Z124" i="30"/>
  <c r="R128" i="30"/>
  <c r="F57" i="63" s="1"/>
  <c r="H57" i="63" s="1"/>
  <c r="R48" i="30"/>
  <c r="F52" i="63" s="1"/>
  <c r="H52" i="63" s="1"/>
  <c r="U137" i="30"/>
  <c r="U115" i="31"/>
  <c r="AB115" i="31"/>
  <c r="R26" i="30"/>
  <c r="H78" i="56"/>
  <c r="H82" i="56" s="1"/>
  <c r="H83" i="56" s="1"/>
  <c r="G76" i="49"/>
  <c r="M80" i="49"/>
  <c r="R49" i="31"/>
  <c r="F65" i="63" s="1"/>
  <c r="H65" i="63" s="1"/>
  <c r="R41" i="31"/>
  <c r="AD41" i="31"/>
  <c r="J80" i="56"/>
  <c r="J79" i="56" s="1"/>
  <c r="J86" i="56" s="1"/>
  <c r="S128" i="28"/>
  <c r="S138" i="28" s="1"/>
  <c r="G52" i="49"/>
  <c r="Z123" i="30"/>
  <c r="G49" i="49"/>
  <c r="H26" i="49"/>
  <c r="S37" i="30"/>
  <c r="R37" i="30"/>
  <c r="R39" i="30" s="1"/>
  <c r="R74" i="30"/>
  <c r="R77" i="30" s="1"/>
  <c r="F55" i="63" s="1"/>
  <c r="H55" i="63" s="1"/>
  <c r="Z22" i="30"/>
  <c r="S74" i="30"/>
  <c r="R21" i="31"/>
  <c r="F63" i="63" s="1"/>
  <c r="H63" i="63" s="1"/>
  <c r="O20" i="29"/>
  <c r="W48" i="29"/>
  <c r="O15" i="29"/>
  <c r="W47" i="29"/>
  <c r="O14" i="29"/>
  <c r="O16" i="29"/>
  <c r="W49" i="29"/>
  <c r="E39" i="29"/>
  <c r="W39" i="29" s="1"/>
  <c r="P113" i="28"/>
  <c r="U113" i="28"/>
  <c r="AD85" i="31"/>
  <c r="AC41" i="31"/>
  <c r="V47" i="31"/>
  <c r="S49" i="31"/>
  <c r="G65" i="63" s="1"/>
  <c r="AA41" i="31"/>
  <c r="V48" i="31"/>
  <c r="AA40" i="29"/>
  <c r="O50" i="29"/>
  <c r="X22" i="29"/>
  <c r="Y40" i="29"/>
  <c r="U39" i="29"/>
  <c r="O19" i="29"/>
  <c r="O31" i="29"/>
  <c r="Y31" i="29"/>
  <c r="Y86" i="29" s="1"/>
  <c r="X40" i="29"/>
  <c r="AA120" i="28"/>
  <c r="Y155" i="28"/>
  <c r="Y163" i="28" s="1"/>
  <c r="V154" i="28"/>
  <c r="P111" i="28"/>
  <c r="V111" i="28"/>
  <c r="V152" i="28"/>
  <c r="S190" i="28"/>
  <c r="K37" i="63" s="1"/>
  <c r="V153" i="28"/>
  <c r="O190" i="28"/>
  <c r="V76" i="28"/>
  <c r="P190" i="28"/>
  <c r="Y190" i="28"/>
  <c r="O76" i="28"/>
  <c r="O78" i="28" s="1"/>
  <c r="F28" i="63" s="1"/>
  <c r="Y121" i="28"/>
  <c r="Y138" i="28"/>
  <c r="AA155" i="28"/>
  <c r="AA163" i="28" s="1"/>
  <c r="Z190" i="28"/>
  <c r="P138" i="28"/>
  <c r="G32" i="63" s="1"/>
  <c r="X155" i="28"/>
  <c r="X163" i="28" s="1"/>
  <c r="AA48" i="30"/>
  <c r="AC39" i="30"/>
  <c r="AA31" i="30"/>
  <c r="AD39" i="30"/>
  <c r="AC31" i="30"/>
  <c r="AD31" i="30"/>
  <c r="R20" i="30"/>
  <c r="Q21" i="30"/>
  <c r="AA85" i="31"/>
  <c r="AC32" i="31"/>
  <c r="AA32" i="31"/>
  <c r="AD32" i="31"/>
  <c r="AC49" i="31"/>
  <c r="O114" i="28"/>
  <c r="O113" i="28"/>
  <c r="Z78" i="28"/>
  <c r="AA78" i="28"/>
  <c r="Y78" i="28"/>
  <c r="P78" i="28"/>
  <c r="G28" i="63" s="1"/>
  <c r="M170" i="28"/>
  <c r="F64" i="63" l="1"/>
  <c r="H64" i="63" s="1"/>
  <c r="H72" i="63" s="1"/>
  <c r="H34" i="63"/>
  <c r="H28" i="63"/>
  <c r="P121" i="28"/>
  <c r="G31" i="63" s="1"/>
  <c r="M32" i="63"/>
  <c r="M32" i="49"/>
  <c r="Y44" i="30"/>
  <c r="M31" i="49"/>
  <c r="O155" i="28"/>
  <c r="F33" i="63" s="1"/>
  <c r="Z128" i="30"/>
  <c r="AC115" i="31"/>
  <c r="O22" i="29"/>
  <c r="F73" i="63" s="1"/>
  <c r="S77" i="30"/>
  <c r="H80" i="56"/>
  <c r="Q80" i="56"/>
  <c r="H90" i="56"/>
  <c r="G81" i="56"/>
  <c r="H87" i="56"/>
  <c r="H79" i="56"/>
  <c r="J85" i="56" s="1"/>
  <c r="J87" i="56" s="1"/>
  <c r="F76" i="49"/>
  <c r="F74" i="49"/>
  <c r="O164" i="28"/>
  <c r="F63" i="49"/>
  <c r="F64" i="49"/>
  <c r="G65" i="49"/>
  <c r="F65" i="49"/>
  <c r="G32" i="49"/>
  <c r="J83" i="56"/>
  <c r="K79" i="56"/>
  <c r="K83" i="56"/>
  <c r="G28" i="49"/>
  <c r="K37" i="49"/>
  <c r="F50" i="63"/>
  <c r="F28" i="49"/>
  <c r="F57" i="49"/>
  <c r="F52" i="49"/>
  <c r="S39" i="30"/>
  <c r="G50" i="63" s="1"/>
  <c r="W50" i="29"/>
  <c r="O40" i="29"/>
  <c r="F75" i="63" s="1"/>
  <c r="V49" i="31"/>
  <c r="P31" i="29"/>
  <c r="P86" i="29" s="1"/>
  <c r="O121" i="28"/>
  <c r="R21" i="30"/>
  <c r="R31" i="30" s="1"/>
  <c r="C8" i="28"/>
  <c r="C9" i="28" s="1"/>
  <c r="M65" i="63" l="1"/>
  <c r="M72" i="63" s="1"/>
  <c r="M65" i="49"/>
  <c r="G55" i="63"/>
  <c r="V74" i="30"/>
  <c r="H33" i="63"/>
  <c r="H75" i="63"/>
  <c r="M47" i="63"/>
  <c r="O122" i="28"/>
  <c r="F31" i="63"/>
  <c r="F80" i="63"/>
  <c r="H73" i="63"/>
  <c r="H50" i="63"/>
  <c r="O23" i="29"/>
  <c r="H65" i="49"/>
  <c r="H74" i="49"/>
  <c r="H52" i="49"/>
  <c r="H76" i="49"/>
  <c r="H57" i="49"/>
  <c r="H64" i="49"/>
  <c r="H63" i="49"/>
  <c r="O156" i="28"/>
  <c r="F33" i="49"/>
  <c r="F49" i="63"/>
  <c r="H49" i="63" s="1"/>
  <c r="F50" i="49"/>
  <c r="G74" i="49"/>
  <c r="F75" i="49"/>
  <c r="G31" i="49"/>
  <c r="G55" i="49"/>
  <c r="G50" i="49"/>
  <c r="F73" i="49"/>
  <c r="F31" i="49"/>
  <c r="F34" i="49"/>
  <c r="H28" i="49"/>
  <c r="F55" i="49"/>
  <c r="M17" i="28"/>
  <c r="H80" i="63" l="1"/>
  <c r="H31" i="63"/>
  <c r="H61" i="63"/>
  <c r="H72" i="49"/>
  <c r="H34" i="49"/>
  <c r="H31" i="49"/>
  <c r="H75" i="49"/>
  <c r="H50" i="49"/>
  <c r="H55" i="49"/>
  <c r="H33" i="49"/>
  <c r="H73" i="49"/>
  <c r="V77" i="30"/>
  <c r="M55" i="63" l="1"/>
  <c r="M61" i="63" s="1"/>
  <c r="M55" i="49"/>
  <c r="H80" i="49"/>
  <c r="F49" i="49"/>
  <c r="V59" i="29"/>
  <c r="N58" i="29"/>
  <c r="N56" i="29"/>
  <c r="N66" i="29"/>
  <c r="N65" i="29"/>
  <c r="U276" i="28"/>
  <c r="M275" i="28"/>
  <c r="N276" i="28"/>
  <c r="V276" i="28" s="1"/>
  <c r="N275" i="28"/>
  <c r="V275" i="28" s="1"/>
  <c r="V274" i="28"/>
  <c r="O263" i="28"/>
  <c r="O253" i="28"/>
  <c r="O252" i="28"/>
  <c r="AA246" i="28"/>
  <c r="Z246" i="28"/>
  <c r="Y246" i="28"/>
  <c r="X246" i="28"/>
  <c r="V246" i="28"/>
  <c r="U246" i="28"/>
  <c r="AA245" i="28"/>
  <c r="Z245" i="28"/>
  <c r="Y245" i="28"/>
  <c r="X245" i="28"/>
  <c r="V245" i="28"/>
  <c r="U245" i="28"/>
  <c r="AA244" i="28"/>
  <c r="Z244" i="28"/>
  <c r="Y244" i="28"/>
  <c r="X244" i="28"/>
  <c r="U244" i="28"/>
  <c r="AA243" i="28"/>
  <c r="Z243" i="28"/>
  <c r="Y243" i="28"/>
  <c r="X243" i="28"/>
  <c r="U243" i="28"/>
  <c r="AA242" i="28"/>
  <c r="Z242" i="28"/>
  <c r="Y242" i="28"/>
  <c r="X242" i="28"/>
  <c r="U242" i="28"/>
  <c r="AA241" i="28"/>
  <c r="Z241" i="28"/>
  <c r="Y241" i="28"/>
  <c r="X241" i="28"/>
  <c r="U241" i="28"/>
  <c r="N244" i="28"/>
  <c r="N243" i="28"/>
  <c r="N242" i="28"/>
  <c r="V241" i="28"/>
  <c r="O246" i="28"/>
  <c r="W246" i="28" s="1"/>
  <c r="O245" i="28"/>
  <c r="U234" i="28"/>
  <c r="U230" i="28"/>
  <c r="M229" i="28"/>
  <c r="U229" i="28" s="1"/>
  <c r="X229" i="28"/>
  <c r="Y229" i="28"/>
  <c r="X230" i="28"/>
  <c r="Y230" i="28"/>
  <c r="Z230" i="28"/>
  <c r="AA230" i="28"/>
  <c r="U231" i="28"/>
  <c r="X231" i="28"/>
  <c r="Y231" i="28"/>
  <c r="Z231" i="28"/>
  <c r="U232" i="28"/>
  <c r="W232" i="28"/>
  <c r="X232" i="28"/>
  <c r="Y232" i="28"/>
  <c r="Z232" i="28"/>
  <c r="AA232" i="28"/>
  <c r="U233" i="28"/>
  <c r="Y233" i="28"/>
  <c r="Z233" i="28"/>
  <c r="AA233" i="28"/>
  <c r="Y234" i="28"/>
  <c r="Z234" i="28"/>
  <c r="AA234" i="28"/>
  <c r="AA228" i="28"/>
  <c r="Y228" i="28"/>
  <c r="W228" i="28"/>
  <c r="V228" i="28"/>
  <c r="U228" i="28"/>
  <c r="N234" i="28"/>
  <c r="V234" i="28" s="1"/>
  <c r="N233" i="28"/>
  <c r="O233" i="28" s="1"/>
  <c r="S231" i="28"/>
  <c r="N230" i="28"/>
  <c r="V230" i="28" s="1"/>
  <c r="N229" i="28"/>
  <c r="V229" i="28" s="1"/>
  <c r="R229" i="28"/>
  <c r="N221" i="28"/>
  <c r="N220" i="28"/>
  <c r="AA222" i="28"/>
  <c r="Z222" i="28"/>
  <c r="Y222" i="28"/>
  <c r="X222" i="28"/>
  <c r="AA221" i="28"/>
  <c r="Z221" i="28"/>
  <c r="Y221" i="28"/>
  <c r="X221" i="28"/>
  <c r="AA220" i="28"/>
  <c r="AA223" i="28" s="1"/>
  <c r="Z220" i="28"/>
  <c r="Y220" i="28"/>
  <c r="X220" i="28"/>
  <c r="AA219" i="28"/>
  <c r="Z219" i="28"/>
  <c r="Y219" i="28"/>
  <c r="X219" i="28"/>
  <c r="W219" i="28"/>
  <c r="V219" i="28"/>
  <c r="P223" i="28"/>
  <c r="M222" i="28"/>
  <c r="U222" i="28" s="1"/>
  <c r="M209" i="28"/>
  <c r="U209" i="28" s="1"/>
  <c r="M210" i="28"/>
  <c r="U210" i="28" s="1"/>
  <c r="AA210" i="28"/>
  <c r="Z210" i="28"/>
  <c r="Y210" i="28"/>
  <c r="AA209" i="28"/>
  <c r="Z209" i="28"/>
  <c r="Y209" i="28"/>
  <c r="AA208" i="28"/>
  <c r="Z208" i="28"/>
  <c r="Y208" i="28"/>
  <c r="AA207" i="28"/>
  <c r="Z207" i="28"/>
  <c r="Y207" i="28"/>
  <c r="AA206" i="28"/>
  <c r="Z206" i="28"/>
  <c r="Y206" i="28"/>
  <c r="X206" i="28"/>
  <c r="W206" i="28"/>
  <c r="V206" i="28"/>
  <c r="U206" i="28"/>
  <c r="N210" i="28"/>
  <c r="V210" i="28" s="1"/>
  <c r="N208" i="28"/>
  <c r="V208" i="28" s="1"/>
  <c r="U208" i="28"/>
  <c r="N207" i="28"/>
  <c r="V207" i="28" s="1"/>
  <c r="U207" i="28"/>
  <c r="Y195" i="28"/>
  <c r="Z195" i="28"/>
  <c r="AA195" i="28"/>
  <c r="Y196" i="28"/>
  <c r="Z196" i="28"/>
  <c r="AA196" i="28"/>
  <c r="Y197" i="28"/>
  <c r="Z197" i="28"/>
  <c r="AA197" i="28"/>
  <c r="U198" i="28"/>
  <c r="Y198" i="28"/>
  <c r="Z198" i="28"/>
  <c r="AA198" i="28"/>
  <c r="Y199" i="28"/>
  <c r="Z199" i="28"/>
  <c r="AA199" i="28"/>
  <c r="AA194" i="28"/>
  <c r="Z194" i="28"/>
  <c r="Y194" i="28"/>
  <c r="X194" i="28"/>
  <c r="W194" i="28"/>
  <c r="U194" i="28"/>
  <c r="U199" i="28"/>
  <c r="M196" i="28"/>
  <c r="U196" i="28" s="1"/>
  <c r="U197" i="28"/>
  <c r="U195" i="28"/>
  <c r="AA182" i="28"/>
  <c r="Z182" i="28"/>
  <c r="Y182" i="28"/>
  <c r="AA181" i="28"/>
  <c r="Z181" i="28"/>
  <c r="Y181" i="28"/>
  <c r="U181" i="28"/>
  <c r="AA180" i="28"/>
  <c r="Z180" i="28"/>
  <c r="Y180" i="28"/>
  <c r="AA179" i="28"/>
  <c r="Z179" i="28"/>
  <c r="Y179" i="28"/>
  <c r="X179" i="28"/>
  <c r="W179" i="28"/>
  <c r="V179" i="28"/>
  <c r="U179" i="28"/>
  <c r="U182" i="28"/>
  <c r="P181" i="28"/>
  <c r="N180" i="28"/>
  <c r="O180" i="28" s="1"/>
  <c r="U180" i="28"/>
  <c r="Y172" i="28"/>
  <c r="Y171" i="28"/>
  <c r="Y170" i="28"/>
  <c r="AA169" i="28"/>
  <c r="Z169" i="28"/>
  <c r="Y169" i="28"/>
  <c r="X169" i="28"/>
  <c r="W169" i="28"/>
  <c r="V169" i="28"/>
  <c r="U169" i="28"/>
  <c r="R171" i="28"/>
  <c r="Z171" i="28" s="1"/>
  <c r="T90" i="28"/>
  <c r="V101" i="28"/>
  <c r="M101" i="28"/>
  <c r="R87" i="30"/>
  <c r="P88" i="30"/>
  <c r="P89" i="30" s="1"/>
  <c r="X101" i="28"/>
  <c r="Y101" i="28"/>
  <c r="Z101" i="28"/>
  <c r="AA101" i="28"/>
  <c r="U103" i="28"/>
  <c r="V103" i="28"/>
  <c r="X103" i="28"/>
  <c r="Y103" i="28"/>
  <c r="Z103" i="28"/>
  <c r="AA100" i="28"/>
  <c r="Z100" i="28"/>
  <c r="Y100" i="28"/>
  <c r="X100" i="28"/>
  <c r="AA99" i="28"/>
  <c r="Z99" i="28"/>
  <c r="Y99" i="28"/>
  <c r="X99" i="28"/>
  <c r="V99" i="28"/>
  <c r="AA98" i="28"/>
  <c r="Z98" i="28"/>
  <c r="Y98" i="28"/>
  <c r="X98" i="28"/>
  <c r="W98" i="28"/>
  <c r="V98" i="28"/>
  <c r="U98" i="28"/>
  <c r="AA97" i="28"/>
  <c r="Z97" i="28"/>
  <c r="Y97" i="28"/>
  <c r="X97" i="28"/>
  <c r="W97" i="28"/>
  <c r="U97" i="28"/>
  <c r="R170" i="28"/>
  <c r="Z170" i="28" s="1"/>
  <c r="U172" i="28"/>
  <c r="M171" i="28"/>
  <c r="U171" i="28" s="1"/>
  <c r="U170" i="28"/>
  <c r="N171" i="28"/>
  <c r="V171" i="28" s="1"/>
  <c r="M61" i="49" l="1"/>
  <c r="M99" i="63"/>
  <c r="W263" i="28"/>
  <c r="O264" i="28"/>
  <c r="F44" i="63" s="1"/>
  <c r="W233" i="28"/>
  <c r="X233" i="28"/>
  <c r="P65" i="29"/>
  <c r="P66" i="29"/>
  <c r="H49" i="49"/>
  <c r="O57" i="29"/>
  <c r="V57" i="29"/>
  <c r="O66" i="29"/>
  <c r="V66" i="29"/>
  <c r="O56" i="29"/>
  <c r="V56" i="29"/>
  <c r="O59" i="29"/>
  <c r="O58" i="29"/>
  <c r="V58" i="29"/>
  <c r="V65" i="29"/>
  <c r="O65" i="29"/>
  <c r="Y223" i="28"/>
  <c r="U275" i="28"/>
  <c r="U274" i="28"/>
  <c r="Z104" i="28"/>
  <c r="Y104" i="28"/>
  <c r="X104" i="28"/>
  <c r="P199" i="28"/>
  <c r="S229" i="28"/>
  <c r="S235" i="28" s="1"/>
  <c r="K41" i="63" s="1"/>
  <c r="O276" i="28"/>
  <c r="W276" i="28" s="1"/>
  <c r="O274" i="28"/>
  <c r="W274" i="28" s="1"/>
  <c r="O254" i="28"/>
  <c r="F43" i="63" s="1"/>
  <c r="X247" i="28"/>
  <c r="Y247" i="28"/>
  <c r="Z247" i="28"/>
  <c r="Z229" i="28"/>
  <c r="AA247" i="28"/>
  <c r="V233" i="28"/>
  <c r="Y235" i="28"/>
  <c r="Z228" i="28"/>
  <c r="O209" i="28"/>
  <c r="O234" i="28"/>
  <c r="W234" i="28" s="1"/>
  <c r="O210" i="28"/>
  <c r="O230" i="28"/>
  <c r="O229" i="28"/>
  <c r="P209" i="28"/>
  <c r="X223" i="28"/>
  <c r="U219" i="28"/>
  <c r="Z223" i="28"/>
  <c r="M220" i="28"/>
  <c r="M221" i="28"/>
  <c r="Y211" i="28"/>
  <c r="P208" i="28"/>
  <c r="P207" i="28"/>
  <c r="P210" i="28"/>
  <c r="Z211" i="28"/>
  <c r="AA211" i="28"/>
  <c r="O207" i="28"/>
  <c r="O208" i="28"/>
  <c r="AA200" i="28"/>
  <c r="Y200" i="28"/>
  <c r="Z200" i="28"/>
  <c r="S170" i="28"/>
  <c r="P195" i="28"/>
  <c r="AA183" i="28"/>
  <c r="O196" i="28"/>
  <c r="Y183" i="28"/>
  <c r="Z183" i="28"/>
  <c r="O199" i="28"/>
  <c r="O195" i="28"/>
  <c r="P196" i="28"/>
  <c r="O172" i="28"/>
  <c r="Y173" i="28"/>
  <c r="O182" i="28"/>
  <c r="P182" i="28"/>
  <c r="P180" i="28"/>
  <c r="O171" i="28"/>
  <c r="O170" i="28"/>
  <c r="S171" i="28"/>
  <c r="P171" i="28"/>
  <c r="P170" i="28"/>
  <c r="P172" i="28"/>
  <c r="I43" i="63" l="1"/>
  <c r="I44" i="63"/>
  <c r="H61" i="49"/>
  <c r="K41" i="49"/>
  <c r="P211" i="28"/>
  <c r="O256" i="28"/>
  <c r="O183" i="28"/>
  <c r="F36" i="63" s="1"/>
  <c r="F44" i="49"/>
  <c r="O266" i="28"/>
  <c r="V232" i="28"/>
  <c r="X234" i="28"/>
  <c r="X235" i="28" s="1"/>
  <c r="F43" i="49"/>
  <c r="W58" i="29"/>
  <c r="W65" i="29"/>
  <c r="W57" i="29"/>
  <c r="X65" i="29"/>
  <c r="W59" i="29"/>
  <c r="W66" i="29"/>
  <c r="X66" i="29"/>
  <c r="O60" i="29"/>
  <c r="O86" i="29" s="1"/>
  <c r="W56" i="29"/>
  <c r="O275" i="28"/>
  <c r="W275" i="28" s="1"/>
  <c r="W277" i="28" s="1"/>
  <c r="U221" i="28"/>
  <c r="U220" i="28"/>
  <c r="O211" i="28"/>
  <c r="F39" i="63" s="1"/>
  <c r="P200" i="28"/>
  <c r="G38" i="63" s="1"/>
  <c r="O173" i="28"/>
  <c r="F35" i="63" s="1"/>
  <c r="O200" i="28"/>
  <c r="F38" i="63" s="1"/>
  <c r="P183" i="28"/>
  <c r="G36" i="63" s="1"/>
  <c r="S173" i="28"/>
  <c r="K35" i="63" s="1"/>
  <c r="P173" i="28"/>
  <c r="G35" i="63" s="1"/>
  <c r="E80" i="63" l="1"/>
  <c r="P80" i="63"/>
  <c r="I39" i="63"/>
  <c r="I36" i="63"/>
  <c r="I38" i="63"/>
  <c r="I35" i="63"/>
  <c r="K47" i="63"/>
  <c r="G39" i="49"/>
  <c r="G39" i="63"/>
  <c r="S174" i="28"/>
  <c r="N194" i="28"/>
  <c r="I44" i="49"/>
  <c r="I43" i="49"/>
  <c r="K35" i="49"/>
  <c r="G38" i="49"/>
  <c r="G36" i="49"/>
  <c r="G35" i="49"/>
  <c r="P285" i="28"/>
  <c r="G80" i="49"/>
  <c r="O68" i="29"/>
  <c r="O61" i="29"/>
  <c r="X67" i="29"/>
  <c r="P68" i="29"/>
  <c r="F77" i="49"/>
  <c r="W60" i="29"/>
  <c r="F36" i="49"/>
  <c r="F38" i="49"/>
  <c r="F39" i="49"/>
  <c r="F35" i="49"/>
  <c r="W67" i="29"/>
  <c r="O277" i="28"/>
  <c r="F45" i="63" s="1"/>
  <c r="J94" i="31"/>
  <c r="P7" i="31"/>
  <c r="G47" i="63" l="1"/>
  <c r="Q47" i="63" s="1"/>
  <c r="I45" i="63"/>
  <c r="F80" i="49"/>
  <c r="I38" i="49"/>
  <c r="I39" i="49"/>
  <c r="I36" i="49"/>
  <c r="I35" i="49"/>
  <c r="G47" i="49"/>
  <c r="F45" i="49"/>
  <c r="I77" i="49"/>
  <c r="N100" i="28"/>
  <c r="W103" i="28"/>
  <c r="M100" i="28"/>
  <c r="M99" i="28"/>
  <c r="AA90" i="28"/>
  <c r="Z90" i="28"/>
  <c r="Y90" i="28"/>
  <c r="X90" i="28"/>
  <c r="AA88" i="28"/>
  <c r="Z88" i="28"/>
  <c r="Y88" i="28"/>
  <c r="X88" i="28"/>
  <c r="AA87" i="28"/>
  <c r="Z87" i="28"/>
  <c r="Y87" i="28"/>
  <c r="X87" i="28"/>
  <c r="AA86" i="28"/>
  <c r="Z86" i="28"/>
  <c r="Y86" i="28"/>
  <c r="X86" i="28"/>
  <c r="W86" i="28"/>
  <c r="V86" i="28"/>
  <c r="U86" i="28"/>
  <c r="AA85" i="28"/>
  <c r="Z85" i="28"/>
  <c r="Y85" i="28"/>
  <c r="X85" i="28"/>
  <c r="W85" i="28"/>
  <c r="N88" i="28"/>
  <c r="N87" i="28"/>
  <c r="V87" i="28" s="1"/>
  <c r="S91" i="28"/>
  <c r="S285" i="28" s="1"/>
  <c r="AA53" i="28"/>
  <c r="Z53" i="28"/>
  <c r="Y53" i="28"/>
  <c r="X53" i="28"/>
  <c r="AA51" i="28"/>
  <c r="Z51" i="28"/>
  <c r="Y51" i="28"/>
  <c r="X51" i="28"/>
  <c r="AA50" i="28"/>
  <c r="Z50" i="28"/>
  <c r="Y50" i="28"/>
  <c r="X50" i="28"/>
  <c r="AA49" i="28"/>
  <c r="Z49" i="28"/>
  <c r="Y49" i="28"/>
  <c r="X49" i="28"/>
  <c r="AA48" i="28"/>
  <c r="Z48" i="28"/>
  <c r="Y48" i="28"/>
  <c r="X48" i="28"/>
  <c r="W48" i="28"/>
  <c r="V48" i="28"/>
  <c r="U48" i="28"/>
  <c r="AA47" i="28"/>
  <c r="Z47" i="28"/>
  <c r="Y47" i="28"/>
  <c r="X47" i="28"/>
  <c r="W47" i="28"/>
  <c r="V47" i="28"/>
  <c r="U47" i="28"/>
  <c r="AA46" i="28"/>
  <c r="Z46" i="28"/>
  <c r="Y46" i="28"/>
  <c r="X46" i="28"/>
  <c r="W46" i="28"/>
  <c r="V46" i="28"/>
  <c r="U46" i="28"/>
  <c r="AA45" i="28"/>
  <c r="Z45" i="28"/>
  <c r="Y45" i="28"/>
  <c r="X45" i="28"/>
  <c r="W45" i="28"/>
  <c r="U45" i="28"/>
  <c r="O51" i="28"/>
  <c r="N50" i="28"/>
  <c r="N49" i="28"/>
  <c r="U19" i="28"/>
  <c r="X19" i="28"/>
  <c r="X18" i="28"/>
  <c r="AA19" i="28"/>
  <c r="Z19" i="28"/>
  <c r="Y19" i="28"/>
  <c r="AA18" i="28"/>
  <c r="Z18" i="28"/>
  <c r="Y18" i="28"/>
  <c r="AA17" i="28"/>
  <c r="Z17" i="28"/>
  <c r="Y17" i="28"/>
  <c r="X17" i="28"/>
  <c r="AA16" i="28"/>
  <c r="Z16" i="28"/>
  <c r="Y16" i="28"/>
  <c r="X16" i="28"/>
  <c r="W16" i="28"/>
  <c r="V16" i="28"/>
  <c r="U16" i="28"/>
  <c r="AA15" i="28"/>
  <c r="Z15" i="28"/>
  <c r="Y15" i="28"/>
  <c r="X15" i="28"/>
  <c r="W15" i="28"/>
  <c r="V15" i="28"/>
  <c r="U15" i="28"/>
  <c r="AA14" i="28"/>
  <c r="Z14" i="28"/>
  <c r="Y14" i="28"/>
  <c r="X14" i="28"/>
  <c r="W14" i="28"/>
  <c r="V14" i="28"/>
  <c r="U14" i="28"/>
  <c r="AA13" i="28"/>
  <c r="Z13" i="28"/>
  <c r="Y13" i="28"/>
  <c r="X13" i="28"/>
  <c r="W13" i="28"/>
  <c r="U13" i="28"/>
  <c r="AA12" i="28"/>
  <c r="Z12" i="28"/>
  <c r="Y12" i="28"/>
  <c r="X12" i="28"/>
  <c r="AA9" i="28"/>
  <c r="Z9" i="28"/>
  <c r="Y9" i="28"/>
  <c r="X9" i="28"/>
  <c r="AA8" i="28"/>
  <c r="Z8" i="28"/>
  <c r="Y8" i="28"/>
  <c r="X8" i="28"/>
  <c r="AA7" i="28"/>
  <c r="Z7" i="28"/>
  <c r="Y7" i="28"/>
  <c r="X7" i="28"/>
  <c r="W7" i="28"/>
  <c r="V7" i="28"/>
  <c r="U7" i="28"/>
  <c r="AA6" i="28"/>
  <c r="Z6" i="28"/>
  <c r="Y6" i="28"/>
  <c r="X6" i="28"/>
  <c r="W6" i="28"/>
  <c r="V6" i="28"/>
  <c r="U6" i="28"/>
  <c r="AA5" i="28"/>
  <c r="Z5" i="28"/>
  <c r="Y5" i="28"/>
  <c r="X5" i="28"/>
  <c r="W5" i="28"/>
  <c r="V5" i="28"/>
  <c r="U5" i="28"/>
  <c r="AA4" i="28"/>
  <c r="Z4" i="28"/>
  <c r="Y4" i="28"/>
  <c r="W4" i="28"/>
  <c r="N19" i="28"/>
  <c r="O19" i="28" s="1"/>
  <c r="W19" i="28" s="1"/>
  <c r="V18" i="28"/>
  <c r="N17" i="28"/>
  <c r="V17" i="28" s="1"/>
  <c r="N10" i="28"/>
  <c r="N9" i="28"/>
  <c r="U18" i="28"/>
  <c r="Q114" i="30"/>
  <c r="R114" i="30" s="1"/>
  <c r="Q113" i="30"/>
  <c r="Y113" i="30" s="1"/>
  <c r="AD95" i="30"/>
  <c r="AC95" i="30"/>
  <c r="AA95" i="30"/>
  <c r="Z95" i="30"/>
  <c r="Y95" i="30"/>
  <c r="U97" i="30"/>
  <c r="S97" i="30"/>
  <c r="U96" i="30"/>
  <c r="R85" i="30"/>
  <c r="Y85" i="30"/>
  <c r="AA85" i="30"/>
  <c r="AC85" i="30"/>
  <c r="AD85" i="30"/>
  <c r="AA86" i="30"/>
  <c r="AC86" i="30"/>
  <c r="AD86" i="30"/>
  <c r="X87" i="30"/>
  <c r="Y87" i="30"/>
  <c r="Z87" i="30"/>
  <c r="AA87" i="30"/>
  <c r="AC87" i="30"/>
  <c r="AD87" i="30"/>
  <c r="AA88" i="30"/>
  <c r="AC88" i="30"/>
  <c r="AD88" i="30"/>
  <c r="AA89" i="30"/>
  <c r="AC89" i="30"/>
  <c r="AD89" i="30"/>
  <c r="AD84" i="30"/>
  <c r="AC84" i="30"/>
  <c r="AA84" i="30"/>
  <c r="Z84" i="30"/>
  <c r="Y84" i="30"/>
  <c r="X84" i="30"/>
  <c r="AD83" i="30"/>
  <c r="AC83" i="30"/>
  <c r="AA83" i="30"/>
  <c r="Z83" i="30"/>
  <c r="Y83" i="30"/>
  <c r="X83" i="30"/>
  <c r="AD82" i="30"/>
  <c r="AC82" i="30"/>
  <c r="AA82" i="30"/>
  <c r="Z82" i="30"/>
  <c r="Y82" i="30"/>
  <c r="X82" i="30"/>
  <c r="Q88" i="30"/>
  <c r="R88" i="30" s="1"/>
  <c r="P86" i="30"/>
  <c r="X86" i="30" s="1"/>
  <c r="AC62" i="30"/>
  <c r="AC63" i="30"/>
  <c r="AC64" i="30"/>
  <c r="AD64" i="30"/>
  <c r="AC65" i="30"/>
  <c r="AD65" i="30"/>
  <c r="E80" i="49" l="1"/>
  <c r="Y54" i="28"/>
  <c r="O87" i="29"/>
  <c r="I45" i="49"/>
  <c r="I80" i="49"/>
  <c r="Z54" i="28"/>
  <c r="M89" i="28"/>
  <c r="O89" i="28" s="1"/>
  <c r="E29" i="49"/>
  <c r="Y114" i="30"/>
  <c r="Z114" i="30"/>
  <c r="R113" i="30"/>
  <c r="R116" i="30" s="1"/>
  <c r="AC97" i="30"/>
  <c r="AC96" i="30"/>
  <c r="AA91" i="28"/>
  <c r="Y91" i="28"/>
  <c r="U85" i="28"/>
  <c r="U4" i="28"/>
  <c r="X91" i="28"/>
  <c r="M10" i="28"/>
  <c r="U10" i="28" s="1"/>
  <c r="AA54" i="28"/>
  <c r="M88" i="28"/>
  <c r="O99" i="28"/>
  <c r="O100" i="28"/>
  <c r="V100" i="28"/>
  <c r="AA22" i="28"/>
  <c r="X54" i="28"/>
  <c r="Z22" i="28"/>
  <c r="X22" i="28"/>
  <c r="Y22" i="28"/>
  <c r="U53" i="28"/>
  <c r="M87" i="28"/>
  <c r="O101" i="28"/>
  <c r="O50" i="28"/>
  <c r="V19" i="28"/>
  <c r="O49" i="28"/>
  <c r="U17" i="28"/>
  <c r="O17" i="28"/>
  <c r="W17" i="28" s="1"/>
  <c r="R96" i="30"/>
  <c r="V97" i="30"/>
  <c r="R89" i="30"/>
  <c r="X96" i="30"/>
  <c r="X97" i="30"/>
  <c r="V96" i="30"/>
  <c r="R97" i="30"/>
  <c r="S96" i="30"/>
  <c r="AD90" i="30"/>
  <c r="Y88" i="30"/>
  <c r="AA90" i="30"/>
  <c r="AD61" i="30"/>
  <c r="AC61" i="30"/>
  <c r="V63" i="30"/>
  <c r="P62" i="30"/>
  <c r="AD55" i="30"/>
  <c r="AC55" i="30"/>
  <c r="X55" i="30"/>
  <c r="AD54" i="30"/>
  <c r="AC54" i="30"/>
  <c r="X54" i="30"/>
  <c r="AD53" i="30"/>
  <c r="AC53" i="30"/>
  <c r="AD52" i="30"/>
  <c r="AC52" i="30"/>
  <c r="AA52" i="30"/>
  <c r="Z52" i="30"/>
  <c r="Y52" i="30"/>
  <c r="X52" i="30"/>
  <c r="Q55" i="30"/>
  <c r="S55" i="30" s="1"/>
  <c r="Q53" i="30"/>
  <c r="X53" i="30"/>
  <c r="AD8" i="30"/>
  <c r="AC8" i="30"/>
  <c r="AA8" i="30"/>
  <c r="X8" i="30"/>
  <c r="AD7" i="30"/>
  <c r="AC7" i="30"/>
  <c r="AA7" i="30"/>
  <c r="AD6" i="30"/>
  <c r="AC6" i="30"/>
  <c r="AA6" i="30"/>
  <c r="AD5" i="30"/>
  <c r="AC5" i="30"/>
  <c r="AA5" i="30"/>
  <c r="AD4" i="30"/>
  <c r="AC4" i="30"/>
  <c r="AA4" i="30"/>
  <c r="Z4" i="30"/>
  <c r="Y4" i="30"/>
  <c r="X4" i="30"/>
  <c r="R8" i="30"/>
  <c r="Q7" i="30"/>
  <c r="Q58" i="31"/>
  <c r="S58" i="31" s="1"/>
  <c r="Q102" i="31"/>
  <c r="Q101" i="31"/>
  <c r="Q5" i="30"/>
  <c r="Q83" i="31"/>
  <c r="Y83" i="31" s="1"/>
  <c r="P83" i="31"/>
  <c r="P81" i="31"/>
  <c r="R80" i="31"/>
  <c r="AA65" i="31"/>
  <c r="AC65" i="31"/>
  <c r="AA66" i="31"/>
  <c r="AC66" i="31"/>
  <c r="X67" i="31"/>
  <c r="Y67" i="31"/>
  <c r="Z67" i="31"/>
  <c r="AA67" i="31"/>
  <c r="AC67" i="31"/>
  <c r="AD67" i="31"/>
  <c r="AA68" i="31"/>
  <c r="AC68" i="31"/>
  <c r="AD68" i="31"/>
  <c r="Y69" i="31"/>
  <c r="AA69" i="31"/>
  <c r="AC69" i="31"/>
  <c r="AD69" i="31"/>
  <c r="AD64" i="31"/>
  <c r="AC64" i="31"/>
  <c r="AA64" i="31"/>
  <c r="Z64" i="31"/>
  <c r="Y64" i="31"/>
  <c r="X64" i="31"/>
  <c r="Q65" i="31"/>
  <c r="V65" i="31" s="1"/>
  <c r="P69" i="31"/>
  <c r="Q68" i="31"/>
  <c r="P68" i="31"/>
  <c r="V66" i="31"/>
  <c r="P65" i="31"/>
  <c r="P66" i="31" s="1"/>
  <c r="R66" i="31" s="1"/>
  <c r="AD58" i="31"/>
  <c r="AC58" i="31"/>
  <c r="X58" i="31"/>
  <c r="AD57" i="31"/>
  <c r="AC57" i="31"/>
  <c r="AD56" i="31"/>
  <c r="AC56" i="31"/>
  <c r="AD55" i="31"/>
  <c r="AC55" i="31"/>
  <c r="AA55" i="31"/>
  <c r="Z55" i="31"/>
  <c r="Y55" i="31"/>
  <c r="X55" i="31"/>
  <c r="P57" i="31"/>
  <c r="Q56" i="31"/>
  <c r="P56" i="31"/>
  <c r="AC94" i="31"/>
  <c r="AC93" i="31"/>
  <c r="AD92" i="31"/>
  <c r="AC92" i="31"/>
  <c r="AA92" i="31"/>
  <c r="Z92" i="31"/>
  <c r="Y92" i="31"/>
  <c r="X92" i="31"/>
  <c r="AD91" i="31"/>
  <c r="AC91" i="31"/>
  <c r="AA91" i="31"/>
  <c r="Z91" i="31"/>
  <c r="Y91" i="31"/>
  <c r="X91" i="31"/>
  <c r="P94" i="31"/>
  <c r="P93" i="31"/>
  <c r="AD9" i="31"/>
  <c r="AC9" i="31"/>
  <c r="AD8" i="31"/>
  <c r="AC8" i="31"/>
  <c r="AD7" i="31"/>
  <c r="AC7" i="31"/>
  <c r="AD6" i="31"/>
  <c r="AC6" i="31"/>
  <c r="AD4" i="31"/>
  <c r="AC4" i="31"/>
  <c r="AA9" i="31"/>
  <c r="AA8" i="31"/>
  <c r="AA7" i="31"/>
  <c r="AA6" i="31"/>
  <c r="AA4" i="31"/>
  <c r="Y4" i="31"/>
  <c r="Z4" i="31"/>
  <c r="X9" i="31"/>
  <c r="X4" i="31"/>
  <c r="Q7" i="31"/>
  <c r="Q8" i="31"/>
  <c r="Q6" i="31"/>
  <c r="F70" i="63" l="1"/>
  <c r="F59" i="63"/>
  <c r="I59" i="63" s="1"/>
  <c r="O88" i="28"/>
  <c r="M90" i="28"/>
  <c r="O90" i="28" s="1"/>
  <c r="O54" i="28"/>
  <c r="R98" i="30"/>
  <c r="F51" i="63" s="1"/>
  <c r="I51" i="63" s="1"/>
  <c r="F59" i="49"/>
  <c r="F70" i="49"/>
  <c r="Y285" i="28"/>
  <c r="Y286" i="28" s="1"/>
  <c r="Z285" i="28"/>
  <c r="W18" i="28"/>
  <c r="N13" i="28"/>
  <c r="V13" i="28" s="1"/>
  <c r="R101" i="31"/>
  <c r="Y101" i="31"/>
  <c r="R102" i="31"/>
  <c r="Y102" i="31"/>
  <c r="Z113" i="30"/>
  <c r="Z116" i="30" s="1"/>
  <c r="R69" i="31"/>
  <c r="X93" i="31"/>
  <c r="X57" i="31"/>
  <c r="V93" i="31"/>
  <c r="X68" i="31"/>
  <c r="Y94" i="31"/>
  <c r="X94" i="31"/>
  <c r="X56" i="31"/>
  <c r="Y68" i="31"/>
  <c r="R83" i="31"/>
  <c r="O87" i="28"/>
  <c r="O10" i="28"/>
  <c r="O104" i="28"/>
  <c r="F30" i="63" s="1"/>
  <c r="O8" i="28"/>
  <c r="V98" i="30"/>
  <c r="K51" i="63" s="1"/>
  <c r="K61" i="63" s="1"/>
  <c r="S98" i="30"/>
  <c r="G51" i="63" s="1"/>
  <c r="AA9" i="30"/>
  <c r="AD56" i="30"/>
  <c r="P63" i="30"/>
  <c r="AD9" i="30"/>
  <c r="R65" i="30"/>
  <c r="Z65" i="30" s="1"/>
  <c r="AA66" i="30"/>
  <c r="R62" i="30"/>
  <c r="V62" i="30"/>
  <c r="S54" i="30"/>
  <c r="S53" i="30"/>
  <c r="R55" i="30"/>
  <c r="R53" i="30"/>
  <c r="R54" i="30"/>
  <c r="R5" i="30"/>
  <c r="V70" i="31"/>
  <c r="X69" i="31"/>
  <c r="AA70" i="31"/>
  <c r="R68" i="31"/>
  <c r="AD59" i="31"/>
  <c r="R65" i="31"/>
  <c r="S56" i="31"/>
  <c r="R56" i="31"/>
  <c r="S57" i="31"/>
  <c r="R57" i="31"/>
  <c r="R58" i="31"/>
  <c r="V94" i="31"/>
  <c r="S94" i="31"/>
  <c r="S93" i="31"/>
  <c r="R94" i="31"/>
  <c r="R93" i="31"/>
  <c r="I70" i="63" l="1"/>
  <c r="I30" i="63"/>
  <c r="O56" i="28"/>
  <c r="F27" i="63"/>
  <c r="N97" i="28"/>
  <c r="N45" i="28"/>
  <c r="V45" i="28" s="1"/>
  <c r="I70" i="49"/>
  <c r="I59" i="49"/>
  <c r="K51" i="49"/>
  <c r="R104" i="31"/>
  <c r="AA103" i="28"/>
  <c r="AA104" i="28" s="1"/>
  <c r="Z102" i="31"/>
  <c r="R59" i="31"/>
  <c r="F67" i="63" s="1"/>
  <c r="I67" i="63" s="1"/>
  <c r="Z101" i="31"/>
  <c r="F27" i="49"/>
  <c r="F30" i="49"/>
  <c r="G51" i="49"/>
  <c r="R56" i="30"/>
  <c r="F53" i="63" s="1"/>
  <c r="I53" i="63" s="1"/>
  <c r="F51" i="49"/>
  <c r="R95" i="31"/>
  <c r="F66" i="63" s="1"/>
  <c r="I66" i="63" s="1"/>
  <c r="R70" i="31"/>
  <c r="F68" i="63" s="1"/>
  <c r="I68" i="63" s="1"/>
  <c r="Z68" i="31"/>
  <c r="Z69" i="31"/>
  <c r="R84" i="31"/>
  <c r="O91" i="28"/>
  <c r="F29" i="63" s="1"/>
  <c r="O9" i="28"/>
  <c r="O22" i="28" s="1"/>
  <c r="R63" i="30"/>
  <c r="V66" i="30"/>
  <c r="V137" i="30" s="1"/>
  <c r="R61" i="63" s="1"/>
  <c r="S56" i="30"/>
  <c r="G53" i="63" s="1"/>
  <c r="G61" i="63" s="1"/>
  <c r="S59" i="31"/>
  <c r="G67" i="63" s="1"/>
  <c r="S95" i="31"/>
  <c r="G66" i="63" s="1"/>
  <c r="V95" i="31"/>
  <c r="K66" i="63" s="1"/>
  <c r="K72" i="63" s="1"/>
  <c r="K99" i="63" s="1"/>
  <c r="F104" i="63" s="1"/>
  <c r="G72" i="63" l="1"/>
  <c r="Q72" i="63" s="1"/>
  <c r="I27" i="63"/>
  <c r="I29" i="63"/>
  <c r="F25" i="63"/>
  <c r="K66" i="49"/>
  <c r="K72" i="49" s="1"/>
  <c r="K61" i="49"/>
  <c r="I30" i="49"/>
  <c r="I27" i="49"/>
  <c r="R66" i="30"/>
  <c r="S137" i="30"/>
  <c r="Q61" i="63" s="1"/>
  <c r="S115" i="31"/>
  <c r="V115" i="31"/>
  <c r="R72" i="63" s="1"/>
  <c r="N85" i="28"/>
  <c r="I51" i="49"/>
  <c r="Z104" i="31"/>
  <c r="S61" i="31"/>
  <c r="N4" i="28"/>
  <c r="F67" i="49"/>
  <c r="R61" i="31"/>
  <c r="F68" i="49"/>
  <c r="G67" i="49"/>
  <c r="G66" i="49"/>
  <c r="F66" i="49"/>
  <c r="G53" i="49"/>
  <c r="F29" i="49"/>
  <c r="F53" i="49"/>
  <c r="G99" i="63" l="1"/>
  <c r="F103" i="63" s="1"/>
  <c r="V67" i="30"/>
  <c r="F54" i="63"/>
  <c r="I54" i="63" s="1"/>
  <c r="I25" i="63"/>
  <c r="X4" i="28"/>
  <c r="G61" i="49"/>
  <c r="I68" i="49"/>
  <c r="I53" i="49"/>
  <c r="I67" i="49"/>
  <c r="F25" i="49"/>
  <c r="G72" i="49"/>
  <c r="I66" i="49"/>
  <c r="I29" i="49"/>
  <c r="F54" i="49"/>
  <c r="R6" i="31"/>
  <c r="R7" i="31"/>
  <c r="R8" i="31"/>
  <c r="R9" i="31"/>
  <c r="I54" i="49" l="1"/>
  <c r="I25" i="49"/>
  <c r="R10" i="31"/>
  <c r="V11" i="31" l="1"/>
  <c r="F62" i="63"/>
  <c r="R15" i="31"/>
  <c r="F62" i="49"/>
  <c r="I62" i="63" l="1"/>
  <c r="I62" i="49"/>
  <c r="AT92" i="31" l="1"/>
  <c r="AV92" i="31"/>
  <c r="AX92" i="31"/>
  <c r="BA92" i="31"/>
  <c r="D7" i="31"/>
  <c r="Y7" i="31" s="1"/>
  <c r="AW28" i="31"/>
  <c r="AP28" i="31"/>
  <c r="AO28" i="31"/>
  <c r="D30" i="31"/>
  <c r="Y30" i="31" s="1"/>
  <c r="AW55" i="31"/>
  <c r="AP55" i="31"/>
  <c r="AN55" i="31"/>
  <c r="AO55" i="31"/>
  <c r="D58" i="31"/>
  <c r="Y58" i="31" s="1"/>
  <c r="D84" i="31"/>
  <c r="Y84" i="31" s="1"/>
  <c r="Y89" i="30"/>
  <c r="Y62" i="30"/>
  <c r="Y55" i="30"/>
  <c r="Y46" i="30"/>
  <c r="Y29" i="30"/>
  <c r="AR86" i="29"/>
  <c r="AT86" i="29"/>
  <c r="AV86" i="29"/>
  <c r="AY112" i="29"/>
  <c r="AY98" i="29"/>
  <c r="AU20" i="29"/>
  <c r="AM20" i="29"/>
  <c r="AN20" i="29"/>
  <c r="D20" i="29"/>
  <c r="V20" i="29" s="1"/>
  <c r="D38" i="29"/>
  <c r="AS39" i="29"/>
  <c r="D147" i="28"/>
  <c r="D133" i="28"/>
  <c r="D90" i="28"/>
  <c r="D9" i="28"/>
  <c r="V133" i="28" l="1"/>
  <c r="V147" i="28"/>
  <c r="V90" i="28"/>
  <c r="V9" i="28"/>
  <c r="V38" i="29"/>
  <c r="Z55" i="30"/>
  <c r="AS86" i="29" l="1"/>
  <c r="E110" i="31" l="1"/>
  <c r="I109" i="31"/>
  <c r="AD109" i="31" s="1"/>
  <c r="AD110" i="31" s="1"/>
  <c r="I94" i="31"/>
  <c r="F94" i="31"/>
  <c r="E94" i="31"/>
  <c r="D93" i="31"/>
  <c r="J93" i="31" s="1"/>
  <c r="C83" i="31"/>
  <c r="C81" i="31"/>
  <c r="C80" i="31"/>
  <c r="D65" i="31"/>
  <c r="Y65" i="31" s="1"/>
  <c r="C65" i="31"/>
  <c r="E58" i="31"/>
  <c r="D57" i="31"/>
  <c r="Y57" i="31" s="1"/>
  <c r="D56" i="31"/>
  <c r="Y56" i="31" s="1"/>
  <c r="H49" i="31"/>
  <c r="G49" i="31"/>
  <c r="G115" i="31" s="1"/>
  <c r="D48" i="31"/>
  <c r="D47" i="31"/>
  <c r="D39" i="31"/>
  <c r="D38" i="31"/>
  <c r="I32" i="31"/>
  <c r="H32" i="31"/>
  <c r="E31" i="31"/>
  <c r="E30" i="31"/>
  <c r="D29" i="31"/>
  <c r="D27" i="31"/>
  <c r="D26" i="31"/>
  <c r="E25" i="31"/>
  <c r="C22" i="31"/>
  <c r="D21" i="31"/>
  <c r="C21" i="31"/>
  <c r="Y9" i="31"/>
  <c r="D8" i="31"/>
  <c r="Y8" i="31" s="1"/>
  <c r="C8" i="31"/>
  <c r="D6" i="31"/>
  <c r="Y6" i="31" s="1"/>
  <c r="C6" i="31"/>
  <c r="H115" i="31" l="1"/>
  <c r="AU18" i="31"/>
  <c r="Z20" i="31"/>
  <c r="E29" i="31"/>
  <c r="Y29" i="31"/>
  <c r="X65" i="31"/>
  <c r="AD94" i="31"/>
  <c r="Z25" i="31"/>
  <c r="X22" i="31"/>
  <c r="E27" i="31"/>
  <c r="Y27" i="31"/>
  <c r="AU38" i="31"/>
  <c r="Z40" i="31"/>
  <c r="Z58" i="31"/>
  <c r="E81" i="31"/>
  <c r="AU73" i="31" s="1"/>
  <c r="X81" i="31"/>
  <c r="AA94" i="31"/>
  <c r="X8" i="31"/>
  <c r="Z30" i="31"/>
  <c r="E38" i="31"/>
  <c r="AN36" i="31" s="1"/>
  <c r="Y38" i="31"/>
  <c r="E47" i="31"/>
  <c r="AR45" i="31" s="1"/>
  <c r="Y47" i="31"/>
  <c r="I110" i="31"/>
  <c r="C84" i="31"/>
  <c r="X83" i="31"/>
  <c r="X21" i="31"/>
  <c r="X6" i="31"/>
  <c r="D22" i="31"/>
  <c r="Y22" i="31" s="1"/>
  <c r="Y21" i="31"/>
  <c r="E26" i="31"/>
  <c r="Y26" i="31"/>
  <c r="BB29" i="31"/>
  <c r="Z31" i="31"/>
  <c r="E39" i="31"/>
  <c r="Y39" i="31"/>
  <c r="E48" i="31"/>
  <c r="Y48" i="31"/>
  <c r="E80" i="31"/>
  <c r="X80" i="31"/>
  <c r="R81" i="31"/>
  <c r="R85" i="31" s="1"/>
  <c r="F69" i="63" s="1"/>
  <c r="C66" i="31"/>
  <c r="I65" i="31"/>
  <c r="AD65" i="31" s="1"/>
  <c r="F56" i="31"/>
  <c r="J56" i="31"/>
  <c r="E57" i="31"/>
  <c r="J57" i="31"/>
  <c r="I93" i="31"/>
  <c r="Y93" i="31"/>
  <c r="BD81" i="31"/>
  <c r="Z94" i="31"/>
  <c r="F48" i="31"/>
  <c r="E56" i="31"/>
  <c r="F93" i="31"/>
  <c r="F47" i="31"/>
  <c r="I47" i="31" s="1"/>
  <c r="E6" i="31"/>
  <c r="E8" i="31"/>
  <c r="E21" i="31"/>
  <c r="F57" i="31"/>
  <c r="E65" i="31"/>
  <c r="E9" i="31"/>
  <c r="C7" i="31"/>
  <c r="F58" i="31"/>
  <c r="E93" i="31"/>
  <c r="E83" i="31"/>
  <c r="I69" i="63" l="1"/>
  <c r="I72" i="63" s="1"/>
  <c r="F72" i="63"/>
  <c r="R115" i="31"/>
  <c r="E84" i="31"/>
  <c r="Z84" i="31" s="1"/>
  <c r="F69" i="49"/>
  <c r="E41" i="31"/>
  <c r="E42" i="31" s="1"/>
  <c r="Z47" i="31"/>
  <c r="AO72" i="31"/>
  <c r="Z80" i="31"/>
  <c r="AN37" i="31"/>
  <c r="Z39" i="31"/>
  <c r="AN27" i="31"/>
  <c r="Z29" i="31"/>
  <c r="AA56" i="31"/>
  <c r="AZ21" i="31"/>
  <c r="AZ92" i="31" s="1"/>
  <c r="Z93" i="31"/>
  <c r="Z95" i="31" s="1"/>
  <c r="X7" i="31"/>
  <c r="X66" i="31"/>
  <c r="AW24" i="31"/>
  <c r="Z26" i="31"/>
  <c r="Z38" i="31"/>
  <c r="Z83" i="31"/>
  <c r="AA57" i="31"/>
  <c r="AA47" i="31"/>
  <c r="AD93" i="31"/>
  <c r="AD95" i="31" s="1"/>
  <c r="AS25" i="31"/>
  <c r="AS92" i="31" s="1"/>
  <c r="Z27" i="31"/>
  <c r="E49" i="31"/>
  <c r="AY19" i="31"/>
  <c r="Z21" i="31"/>
  <c r="AA58" i="31"/>
  <c r="E22" i="31"/>
  <c r="AY20" i="31" s="1"/>
  <c r="Z65" i="31"/>
  <c r="I48" i="31"/>
  <c r="AA48" i="31"/>
  <c r="Z81" i="31"/>
  <c r="BD46" i="31"/>
  <c r="Z48" i="31"/>
  <c r="X84" i="31"/>
  <c r="BC39" i="31"/>
  <c r="BC92" i="31" s="1"/>
  <c r="AN61" i="31"/>
  <c r="AR53" i="31"/>
  <c r="Z56" i="31"/>
  <c r="BD54" i="31"/>
  <c r="Z57" i="31"/>
  <c r="I95" i="31"/>
  <c r="F95" i="31"/>
  <c r="AA93" i="31"/>
  <c r="AA95" i="31" s="1"/>
  <c r="E59" i="31"/>
  <c r="F49" i="31"/>
  <c r="D66" i="31"/>
  <c r="Y66" i="31" s="1"/>
  <c r="BB8" i="31"/>
  <c r="BB92" i="31" s="1"/>
  <c r="Z8" i="31"/>
  <c r="AN6" i="31"/>
  <c r="Z6" i="31"/>
  <c r="F59" i="31"/>
  <c r="AU9" i="31"/>
  <c r="AU92" i="31" s="1"/>
  <c r="Z9" i="31"/>
  <c r="AW7" i="31"/>
  <c r="AP7" i="31"/>
  <c r="AP92" i="31" s="1"/>
  <c r="AO7" i="31"/>
  <c r="E7" i="31"/>
  <c r="AQ92" i="31"/>
  <c r="E95" i="31"/>
  <c r="AR80" i="31"/>
  <c r="P72" i="63" l="1"/>
  <c r="E72" i="63"/>
  <c r="BD92" i="31"/>
  <c r="F72" i="49"/>
  <c r="F115" i="31"/>
  <c r="AO92" i="31"/>
  <c r="AW92" i="31"/>
  <c r="E32" i="31"/>
  <c r="E86" i="31"/>
  <c r="I69" i="49"/>
  <c r="AR92" i="31"/>
  <c r="I49" i="31"/>
  <c r="AA59" i="31"/>
  <c r="AN92" i="31"/>
  <c r="AA49" i="31"/>
  <c r="Z49" i="31"/>
  <c r="Z41" i="31"/>
  <c r="AD48" i="31"/>
  <c r="Z22" i="31"/>
  <c r="Z32" i="31" s="1"/>
  <c r="AD47" i="31"/>
  <c r="Z85" i="31"/>
  <c r="E66" i="31"/>
  <c r="Z59" i="31"/>
  <c r="I66" i="31"/>
  <c r="AD66" i="31" s="1"/>
  <c r="E10" i="31"/>
  <c r="E12" i="31" s="1"/>
  <c r="Z7" i="31"/>
  <c r="Z10" i="31" s="1"/>
  <c r="E72" i="49" l="1"/>
  <c r="AA115" i="31"/>
  <c r="I72" i="49"/>
  <c r="Z66" i="31"/>
  <c r="AD49" i="31"/>
  <c r="AY62" i="31"/>
  <c r="AY92" i="31" s="1"/>
  <c r="E70" i="31"/>
  <c r="E115" i="31" s="1"/>
  <c r="I70" i="31"/>
  <c r="I115" i="31" s="1"/>
  <c r="Y76" i="30"/>
  <c r="Y75" i="30"/>
  <c r="Y74" i="30"/>
  <c r="X63" i="30"/>
  <c r="AD62" i="30"/>
  <c r="X62" i="30"/>
  <c r="Y54" i="30"/>
  <c r="Y53" i="30"/>
  <c r="Y45" i="30"/>
  <c r="Y20" i="30"/>
  <c r="Y96" i="30" l="1"/>
  <c r="M72" i="49"/>
  <c r="Z70" i="31"/>
  <c r="Z115" i="31" s="1"/>
  <c r="X21" i="30"/>
  <c r="X46" i="30"/>
  <c r="X85" i="30"/>
  <c r="X20" i="30"/>
  <c r="Z29" i="30"/>
  <c r="AA55" i="30"/>
  <c r="AA97" i="30"/>
  <c r="X45" i="30"/>
  <c r="AD97" i="30"/>
  <c r="Z24" i="30"/>
  <c r="Y37" i="30"/>
  <c r="Y25" i="30"/>
  <c r="Z30" i="30"/>
  <c r="Y38" i="30"/>
  <c r="Y26" i="30"/>
  <c r="Y28" i="30"/>
  <c r="X88" i="30"/>
  <c r="Z97" i="30"/>
  <c r="Q86" i="30"/>
  <c r="Y7" i="30"/>
  <c r="X5" i="30"/>
  <c r="Y8" i="30"/>
  <c r="Y5" i="30"/>
  <c r="R7" i="30"/>
  <c r="X7" i="30"/>
  <c r="AD70" i="31"/>
  <c r="AD115" i="31" s="1"/>
  <c r="Z62" i="30"/>
  <c r="R9" i="30" l="1"/>
  <c r="F48" i="63" s="1"/>
  <c r="AA37" i="30"/>
  <c r="Z37" i="30"/>
  <c r="Z75" i="30"/>
  <c r="Z46" i="30"/>
  <c r="Z53" i="30"/>
  <c r="Z74" i="30"/>
  <c r="X6" i="30"/>
  <c r="Z76" i="30"/>
  <c r="Z85" i="30"/>
  <c r="AA54" i="30"/>
  <c r="Z88" i="30"/>
  <c r="AD96" i="30"/>
  <c r="AD98" i="30" s="1"/>
  <c r="AA38" i="30"/>
  <c r="AA74" i="30"/>
  <c r="Z96" i="30"/>
  <c r="Z98" i="30" s="1"/>
  <c r="Z5" i="30"/>
  <c r="AA53" i="30"/>
  <c r="X89" i="30"/>
  <c r="AA76" i="30"/>
  <c r="AA75" i="30"/>
  <c r="Z38" i="30"/>
  <c r="Z20" i="30"/>
  <c r="Z28" i="30"/>
  <c r="Z26" i="30"/>
  <c r="Y21" i="30"/>
  <c r="Z45" i="30"/>
  <c r="Z25" i="30"/>
  <c r="Y86" i="30"/>
  <c r="R86" i="30"/>
  <c r="AA96" i="30"/>
  <c r="AA98" i="30" s="1"/>
  <c r="Z54" i="30"/>
  <c r="Z7" i="30"/>
  <c r="Z8" i="30"/>
  <c r="Y63" i="30"/>
  <c r="I48" i="63" l="1"/>
  <c r="AA39" i="30"/>
  <c r="AA56" i="30"/>
  <c r="Z39" i="30"/>
  <c r="AA77" i="30"/>
  <c r="Z56" i="30"/>
  <c r="Z86" i="30"/>
  <c r="R90" i="30"/>
  <c r="F56" i="63" s="1"/>
  <c r="I56" i="63" s="1"/>
  <c r="Z48" i="30"/>
  <c r="Z77" i="30"/>
  <c r="AD74" i="30"/>
  <c r="AD77" i="30" s="1"/>
  <c r="Z21" i="30"/>
  <c r="Z89" i="30"/>
  <c r="AD63" i="30"/>
  <c r="Z63" i="30"/>
  <c r="I61" i="63" l="1"/>
  <c r="F61" i="63"/>
  <c r="R137" i="30"/>
  <c r="E61" i="63" s="1"/>
  <c r="Z90" i="30"/>
  <c r="F56" i="49"/>
  <c r="Z66" i="30"/>
  <c r="AD66" i="30"/>
  <c r="P61" i="63" l="1"/>
  <c r="I56" i="49"/>
  <c r="I84" i="29" l="1"/>
  <c r="E84" i="29"/>
  <c r="D37" i="29"/>
  <c r="H31" i="29"/>
  <c r="H86" i="29" s="1"/>
  <c r="G31" i="29"/>
  <c r="G86" i="29" s="1"/>
  <c r="E21" i="29"/>
  <c r="E20" i="29"/>
  <c r="W20" i="29" s="1"/>
  <c r="D19" i="29"/>
  <c r="C16" i="29"/>
  <c r="D15" i="29"/>
  <c r="D14" i="29"/>
  <c r="E13" i="29"/>
  <c r="E38" i="29" l="1"/>
  <c r="BB86" i="29"/>
  <c r="E37" i="29"/>
  <c r="V37" i="29"/>
  <c r="E15" i="29"/>
  <c r="W15" i="29" s="1"/>
  <c r="V15" i="29"/>
  <c r="W21" i="29"/>
  <c r="AZ21" i="29"/>
  <c r="E16" i="29"/>
  <c r="W16" i="29" s="1"/>
  <c r="U16" i="29"/>
  <c r="W13" i="29"/>
  <c r="AO14" i="29"/>
  <c r="AO86" i="29" s="1"/>
  <c r="E19" i="29"/>
  <c r="V19" i="29"/>
  <c r="E14" i="29"/>
  <c r="W14" i="29" s="1"/>
  <c r="V14" i="29"/>
  <c r="U38" i="29"/>
  <c r="AM38" i="29"/>
  <c r="AM86" i="29" s="1"/>
  <c r="AZ38" i="29"/>
  <c r="AN38" i="29"/>
  <c r="AN86" i="29" s="1"/>
  <c r="F31" i="29"/>
  <c r="F86" i="29" s="1"/>
  <c r="W38" i="29" l="1"/>
  <c r="W40" i="29" s="1"/>
  <c r="E22" i="29"/>
  <c r="AU14" i="29"/>
  <c r="AU86" i="29" s="1"/>
  <c r="AQ15" i="29"/>
  <c r="AQ86" i="29" s="1"/>
  <c r="E40" i="29"/>
  <c r="AY16" i="29"/>
  <c r="AY86" i="29" s="1"/>
  <c r="AZ86" i="29"/>
  <c r="BA86" i="29"/>
  <c r="W19" i="29"/>
  <c r="AL19" i="29"/>
  <c r="X31" i="29"/>
  <c r="X86" i="29" s="1"/>
  <c r="AX86" i="29"/>
  <c r="E31" i="29"/>
  <c r="W31" i="29"/>
  <c r="AP86" i="29"/>
  <c r="I31" i="29"/>
  <c r="I86" i="29" s="1"/>
  <c r="W37" i="29"/>
  <c r="AL37" i="29"/>
  <c r="W86" i="29" l="1"/>
  <c r="E24" i="29"/>
  <c r="E86" i="29"/>
  <c r="E88" i="29" s="1"/>
  <c r="AA31" i="29"/>
  <c r="AA86" i="29" s="1"/>
  <c r="AL86" i="29"/>
  <c r="AW86" i="29"/>
  <c r="AY196" i="29"/>
  <c r="F285" i="27"/>
  <c r="D278" i="27"/>
  <c r="D277" i="27"/>
  <c r="D276" i="27"/>
  <c r="AD269" i="27"/>
  <c r="Z269" i="27"/>
  <c r="AD268" i="27"/>
  <c r="Z268" i="27"/>
  <c r="AD267" i="27"/>
  <c r="H267" i="27"/>
  <c r="AC267" i="27" s="1"/>
  <c r="Z267" i="27"/>
  <c r="AD266" i="27"/>
  <c r="Z266" i="27"/>
  <c r="AD265" i="27"/>
  <c r="Z265" i="27"/>
  <c r="AD264" i="27"/>
  <c r="Z264" i="27"/>
  <c r="AD263" i="27"/>
  <c r="Z263" i="27"/>
  <c r="AD262" i="27"/>
  <c r="Z262" i="27"/>
  <c r="AD261" i="27"/>
  <c r="Z261" i="27"/>
  <c r="AD260" i="27"/>
  <c r="Z260" i="27"/>
  <c r="H258" i="27"/>
  <c r="AC258" i="27" s="1"/>
  <c r="D250" i="27"/>
  <c r="H249" i="27"/>
  <c r="Y249" i="27"/>
  <c r="X249" i="27"/>
  <c r="H248" i="27"/>
  <c r="D248" i="27"/>
  <c r="Y248" i="27" s="1"/>
  <c r="C248" i="27"/>
  <c r="X248" i="27" s="1"/>
  <c r="Z240" i="27"/>
  <c r="Z239" i="27"/>
  <c r="D228" i="27"/>
  <c r="Y228" i="27" s="1"/>
  <c r="C228" i="27"/>
  <c r="X228" i="27" s="1"/>
  <c r="Z223" i="27"/>
  <c r="C223" i="27"/>
  <c r="X223" i="27" s="1"/>
  <c r="X222" i="27"/>
  <c r="C220" i="27"/>
  <c r="H209" i="27"/>
  <c r="I209" i="27" s="1"/>
  <c r="H208" i="27"/>
  <c r="D208" i="27"/>
  <c r="K199" i="27"/>
  <c r="Z181" i="27"/>
  <c r="X181" i="27"/>
  <c r="Z180" i="27"/>
  <c r="X180" i="27"/>
  <c r="AD172" i="27"/>
  <c r="AC172" i="27"/>
  <c r="Z172" i="27"/>
  <c r="Z173" i="27" s="1"/>
  <c r="X171" i="27"/>
  <c r="F164" i="27"/>
  <c r="AA164" i="27" s="1"/>
  <c r="AD163" i="27"/>
  <c r="Y160" i="27"/>
  <c r="Y159" i="27"/>
  <c r="Y158" i="27"/>
  <c r="C158" i="27"/>
  <c r="X158" i="27" s="1"/>
  <c r="AD157" i="27"/>
  <c r="Y157" i="27"/>
  <c r="D154" i="27"/>
  <c r="Y154" i="27" s="1"/>
  <c r="F153" i="27"/>
  <c r="AA153" i="27" s="1"/>
  <c r="AA151" i="27"/>
  <c r="Z151" i="27"/>
  <c r="D151" i="27"/>
  <c r="Y151" i="27" s="1"/>
  <c r="K150" i="27"/>
  <c r="L141" i="27"/>
  <c r="Z131" i="27"/>
  <c r="C131" i="27"/>
  <c r="X131" i="27" s="1"/>
  <c r="Z130" i="27"/>
  <c r="C130" i="27"/>
  <c r="X130" i="27" s="1"/>
  <c r="Z129" i="27"/>
  <c r="C129" i="27"/>
  <c r="X129" i="27" s="1"/>
  <c r="Z128" i="27"/>
  <c r="C128" i="27"/>
  <c r="X128" i="27" s="1"/>
  <c r="Z127" i="27"/>
  <c r="C127" i="27"/>
  <c r="AD125" i="27"/>
  <c r="H125" i="27"/>
  <c r="AC125" i="27" s="1"/>
  <c r="Z125" i="27"/>
  <c r="AD124" i="27"/>
  <c r="Z124" i="27"/>
  <c r="AD123" i="27"/>
  <c r="Z123" i="27"/>
  <c r="AD122" i="27"/>
  <c r="Z122" i="27"/>
  <c r="AD121" i="27"/>
  <c r="Z121" i="27"/>
  <c r="AD119" i="27"/>
  <c r="Z119" i="27"/>
  <c r="AD118" i="27"/>
  <c r="Z118" i="27"/>
  <c r="AD117" i="27"/>
  <c r="H117" i="27"/>
  <c r="AC117" i="27" s="1"/>
  <c r="Z117" i="27"/>
  <c r="X115" i="27"/>
  <c r="K109" i="27"/>
  <c r="AD109" i="27"/>
  <c r="AD108" i="27"/>
  <c r="Z108" i="27"/>
  <c r="AD107" i="27"/>
  <c r="Z107" i="27"/>
  <c r="AD106" i="27"/>
  <c r="AD105" i="27"/>
  <c r="AC105" i="27"/>
  <c r="Z105" i="27"/>
  <c r="X105" i="27"/>
  <c r="AD104" i="27"/>
  <c r="AD103" i="27"/>
  <c r="Z103" i="27"/>
  <c r="E96" i="27"/>
  <c r="AD95" i="27"/>
  <c r="AC95" i="27"/>
  <c r="AD94" i="27"/>
  <c r="AC94" i="27"/>
  <c r="AC93" i="27"/>
  <c r="AC92" i="27"/>
  <c r="I87" i="27"/>
  <c r="Z86" i="27"/>
  <c r="Z85" i="27"/>
  <c r="Z84" i="27"/>
  <c r="Z83" i="27"/>
  <c r="AD71" i="27"/>
  <c r="Z71" i="27"/>
  <c r="AD70" i="27"/>
  <c r="AD69" i="27"/>
  <c r="Z68" i="27"/>
  <c r="AD67" i="27"/>
  <c r="Z67" i="27"/>
  <c r="C66" i="27"/>
  <c r="X66" i="27" s="1"/>
  <c r="Z55" i="27"/>
  <c r="Z54" i="27"/>
  <c r="Z53" i="27"/>
  <c r="Z28" i="27"/>
  <c r="Z27" i="27"/>
  <c r="Z26" i="27"/>
  <c r="X23" i="27"/>
  <c r="X127" i="27" l="1"/>
  <c r="D127" i="27"/>
  <c r="Y127" i="27" s="1"/>
  <c r="J157" i="27"/>
  <c r="E276" i="27"/>
  <c r="Z276" i="27" s="1"/>
  <c r="Y276" i="27"/>
  <c r="E277" i="27"/>
  <c r="Z277" i="27" s="1"/>
  <c r="Y277" i="27"/>
  <c r="Y278" i="27"/>
  <c r="E278" i="27"/>
  <c r="Z278" i="27" s="1"/>
  <c r="Z270" i="27"/>
  <c r="AD270" i="27"/>
  <c r="Z241" i="27"/>
  <c r="H262" i="27"/>
  <c r="AC262" i="27" s="1"/>
  <c r="AC257" i="27"/>
  <c r="C265" i="27"/>
  <c r="X265" i="27" s="1"/>
  <c r="X257" i="27"/>
  <c r="E250" i="27"/>
  <c r="Z250" i="27" s="1"/>
  <c r="Y250" i="27"/>
  <c r="X239" i="27"/>
  <c r="X237" i="27"/>
  <c r="E230" i="27"/>
  <c r="Z230" i="27" s="1"/>
  <c r="Y230" i="27"/>
  <c r="I249" i="27"/>
  <c r="AD249" i="27" s="1"/>
  <c r="AC249" i="27"/>
  <c r="E229" i="27"/>
  <c r="Z229" i="27" s="1"/>
  <c r="Y229" i="27"/>
  <c r="I248" i="27"/>
  <c r="AD248" i="27" s="1"/>
  <c r="AC248" i="27"/>
  <c r="AC251" i="27" s="1"/>
  <c r="C221" i="27"/>
  <c r="X221" i="27" s="1"/>
  <c r="X220" i="27"/>
  <c r="Z249" i="27"/>
  <c r="Y208" i="27"/>
  <c r="I208" i="27"/>
  <c r="AD208" i="27" s="1"/>
  <c r="E248" i="27"/>
  <c r="Z248" i="27" s="1"/>
  <c r="E228" i="27"/>
  <c r="AC208" i="27"/>
  <c r="AD209" i="27"/>
  <c r="AC209" i="27"/>
  <c r="X206" i="27"/>
  <c r="X192" i="27"/>
  <c r="Z187" i="27"/>
  <c r="AB181" i="27"/>
  <c r="AA181" i="27"/>
  <c r="AB180" i="27"/>
  <c r="AA180" i="27"/>
  <c r="AA172" i="27"/>
  <c r="AB172" i="27"/>
  <c r="AC171" i="27"/>
  <c r="AC173" i="27" s="1"/>
  <c r="AB171" i="27"/>
  <c r="C172" i="27"/>
  <c r="I173" i="27"/>
  <c r="I161" i="27"/>
  <c r="AD161" i="27" s="1"/>
  <c r="Y161" i="27"/>
  <c r="I151" i="27"/>
  <c r="AD151" i="27" s="1"/>
  <c r="E154" i="27"/>
  <c r="Z154" i="27" s="1"/>
  <c r="F160" i="27"/>
  <c r="AA160" i="27" s="1"/>
  <c r="J158" i="27"/>
  <c r="Z159" i="27"/>
  <c r="F157" i="27"/>
  <c r="AA157" i="27" s="1"/>
  <c r="E141" i="27"/>
  <c r="X141" i="27"/>
  <c r="Z109" i="27"/>
  <c r="H122" i="27"/>
  <c r="AC122" i="27" s="1"/>
  <c r="AC115" i="27"/>
  <c r="AD110" i="27"/>
  <c r="H109" i="27"/>
  <c r="AC109" i="27" s="1"/>
  <c r="AC101" i="27"/>
  <c r="X101" i="27"/>
  <c r="AD96" i="27"/>
  <c r="Z87" i="27"/>
  <c r="C86" i="27"/>
  <c r="X80" i="27"/>
  <c r="H67" i="27"/>
  <c r="AC67" i="27" s="1"/>
  <c r="AC64" i="27"/>
  <c r="C69" i="27"/>
  <c r="X69" i="27" s="1"/>
  <c r="X64" i="27"/>
  <c r="X48" i="27"/>
  <c r="F158" i="27"/>
  <c r="AA158" i="27" s="1"/>
  <c r="C11" i="27"/>
  <c r="E11" i="27" s="1"/>
  <c r="Z11" i="27" s="1"/>
  <c r="X6" i="27"/>
  <c r="F141" i="27"/>
  <c r="C67" i="27"/>
  <c r="X67" i="27" s="1"/>
  <c r="I96" i="27"/>
  <c r="H106" i="27"/>
  <c r="AC106" i="27" s="1"/>
  <c r="C107" i="27"/>
  <c r="C123" i="27"/>
  <c r="X123" i="27" s="1"/>
  <c r="H108" i="27"/>
  <c r="AC108" i="27" s="1"/>
  <c r="C259" i="27"/>
  <c r="H265" i="27"/>
  <c r="AC265" i="27" s="1"/>
  <c r="I154" i="27"/>
  <c r="AD154" i="27" s="1"/>
  <c r="D94" i="27"/>
  <c r="Y94" i="27" s="1"/>
  <c r="D105" i="27"/>
  <c r="Y105" i="27" s="1"/>
  <c r="D129" i="27"/>
  <c r="Y129" i="27" s="1"/>
  <c r="H266" i="27"/>
  <c r="AC266" i="27" s="1"/>
  <c r="H107" i="27"/>
  <c r="AC107" i="27" s="1"/>
  <c r="D130" i="27"/>
  <c r="Y130" i="27" s="1"/>
  <c r="C25" i="27"/>
  <c r="E25" i="27" s="1"/>
  <c r="C27" i="27"/>
  <c r="X27" i="27" s="1"/>
  <c r="H120" i="27"/>
  <c r="H124" i="27"/>
  <c r="AC124" i="27" s="1"/>
  <c r="C264" i="27"/>
  <c r="C28" i="27"/>
  <c r="X28" i="27" s="1"/>
  <c r="H69" i="27"/>
  <c r="AC69" i="27" s="1"/>
  <c r="D131" i="27"/>
  <c r="Y131" i="27" s="1"/>
  <c r="E187" i="27"/>
  <c r="F173" i="27"/>
  <c r="C119" i="27"/>
  <c r="D128" i="27"/>
  <c r="Y128" i="27" s="1"/>
  <c r="AA159" i="27"/>
  <c r="E164" i="27"/>
  <c r="Z164" i="27" s="1"/>
  <c r="E270" i="27"/>
  <c r="E272" i="27" s="1"/>
  <c r="I270" i="27"/>
  <c r="C263" i="27"/>
  <c r="C118" i="27"/>
  <c r="C124" i="27"/>
  <c r="X124" i="27" s="1"/>
  <c r="F150" i="27"/>
  <c r="AA150" i="27" s="1"/>
  <c r="E157" i="27"/>
  <c r="Z157" i="27" s="1"/>
  <c r="E158" i="27"/>
  <c r="Z158" i="27" s="1"/>
  <c r="I72" i="27"/>
  <c r="E87" i="27"/>
  <c r="D80" i="27" s="1"/>
  <c r="H119" i="27"/>
  <c r="AC119" i="27" s="1"/>
  <c r="H121" i="27"/>
  <c r="AC121" i="27" s="1"/>
  <c r="I150" i="27"/>
  <c r="Y222" i="27"/>
  <c r="D223" i="27"/>
  <c r="Y223" i="27" s="1"/>
  <c r="E241" i="27"/>
  <c r="C261" i="27"/>
  <c r="X261" i="27" s="1"/>
  <c r="F187" i="27"/>
  <c r="D180" i="27"/>
  <c r="Y180" i="27" s="1"/>
  <c r="D171" i="27"/>
  <c r="E225" i="27"/>
  <c r="H260" i="27"/>
  <c r="AC260" i="27" s="1"/>
  <c r="H259" i="27"/>
  <c r="C84" i="27"/>
  <c r="C83" i="27"/>
  <c r="C85" i="27"/>
  <c r="C108" i="27"/>
  <c r="C106" i="27"/>
  <c r="X106" i="27" s="1"/>
  <c r="C109" i="27"/>
  <c r="C103" i="27"/>
  <c r="I110" i="27"/>
  <c r="E132" i="27"/>
  <c r="Z132" i="27" s="1"/>
  <c r="E173" i="27"/>
  <c r="C50" i="27"/>
  <c r="X50" i="27" s="1"/>
  <c r="C53" i="27"/>
  <c r="C52" i="27"/>
  <c r="E52" i="27" s="1"/>
  <c r="E57" i="27" s="1"/>
  <c r="F58" i="27" s="1"/>
  <c r="C55" i="27"/>
  <c r="E161" i="27"/>
  <c r="Z161" i="27" s="1"/>
  <c r="F161" i="27"/>
  <c r="AA161" i="27" s="1"/>
  <c r="C12" i="27"/>
  <c r="E12" i="27" s="1"/>
  <c r="C9" i="27"/>
  <c r="E9" i="27" s="1"/>
  <c r="C8" i="27"/>
  <c r="X8" i="27" s="1"/>
  <c r="C54" i="27"/>
  <c r="E72" i="27"/>
  <c r="D95" i="27"/>
  <c r="Y95" i="27" s="1"/>
  <c r="C104" i="27"/>
  <c r="E104" i="27" s="1"/>
  <c r="Z104" i="27" s="1"/>
  <c r="C125" i="27"/>
  <c r="X125" i="27" s="1"/>
  <c r="C121" i="27"/>
  <c r="C120" i="27"/>
  <c r="C122" i="27"/>
  <c r="X122" i="27" s="1"/>
  <c r="C117" i="27"/>
  <c r="E153" i="27"/>
  <c r="Z153" i="27" s="1"/>
  <c r="E160" i="27"/>
  <c r="Z160" i="27" s="1"/>
  <c r="D181" i="27"/>
  <c r="Y181" i="27" s="1"/>
  <c r="C198" i="27"/>
  <c r="C195" i="27"/>
  <c r="X195" i="27" s="1"/>
  <c r="C197" i="27"/>
  <c r="E197" i="27" s="1"/>
  <c r="Z197" i="27" s="1"/>
  <c r="C199" i="27"/>
  <c r="C26" i="27"/>
  <c r="X26" i="27" s="1"/>
  <c r="C68" i="27"/>
  <c r="C70" i="27"/>
  <c r="H104" i="27"/>
  <c r="AC104" i="27" s="1"/>
  <c r="H118" i="27"/>
  <c r="AC118" i="27" s="1"/>
  <c r="H123" i="27"/>
  <c r="AC123" i="27" s="1"/>
  <c r="E150" i="27"/>
  <c r="Z150" i="27" s="1"/>
  <c r="C208" i="27"/>
  <c r="E208" i="27" s="1"/>
  <c r="C260" i="27"/>
  <c r="C266" i="27"/>
  <c r="X266" i="27" s="1"/>
  <c r="C268" i="27"/>
  <c r="X268" i="27" s="1"/>
  <c r="H103" i="27"/>
  <c r="AC103" i="27" s="1"/>
  <c r="X198" i="27" l="1"/>
  <c r="E198" i="27"/>
  <c r="Z198" i="27" s="1"/>
  <c r="X199" i="27"/>
  <c r="E199" i="27"/>
  <c r="X10" i="27"/>
  <c r="E10" i="27"/>
  <c r="Z10" i="27" s="1"/>
  <c r="D64" i="27"/>
  <c r="E77" i="27"/>
  <c r="E110" i="27"/>
  <c r="E112" i="27" s="1"/>
  <c r="Z9" i="27"/>
  <c r="X25" i="27"/>
  <c r="Q171" i="27"/>
  <c r="Y171" i="27" s="1"/>
  <c r="F174" i="27"/>
  <c r="F175" i="27" s="1"/>
  <c r="D174" i="27"/>
  <c r="X172" i="27"/>
  <c r="D172" i="27"/>
  <c r="Y172" i="27" s="1"/>
  <c r="D48" i="27"/>
  <c r="AD251" i="27"/>
  <c r="AA142" i="27"/>
  <c r="AA143" i="27" s="1"/>
  <c r="Z142" i="27"/>
  <c r="Z143" i="27" s="1"/>
  <c r="D265" i="27"/>
  <c r="Y265" i="27" s="1"/>
  <c r="D264" i="27"/>
  <c r="Y264" i="27" s="1"/>
  <c r="X264" i="27"/>
  <c r="C269" i="27"/>
  <c r="X259" i="27"/>
  <c r="Z251" i="27"/>
  <c r="D260" i="27"/>
  <c r="Y260" i="27" s="1"/>
  <c r="X260" i="27"/>
  <c r="D263" i="27"/>
  <c r="Y263" i="27" s="1"/>
  <c r="X263" i="27"/>
  <c r="H269" i="27"/>
  <c r="AC269" i="27" s="1"/>
  <c r="AC259" i="27"/>
  <c r="Y239" i="27"/>
  <c r="E231" i="27"/>
  <c r="Z231" i="27" s="1"/>
  <c r="Z228" i="27"/>
  <c r="D221" i="27"/>
  <c r="Y221" i="27" s="1"/>
  <c r="AB187" i="27"/>
  <c r="Z208" i="27"/>
  <c r="X208" i="27"/>
  <c r="AB173" i="27"/>
  <c r="Y197" i="27"/>
  <c r="X197" i="27"/>
  <c r="J181" i="27"/>
  <c r="AA187" i="27"/>
  <c r="J180" i="27"/>
  <c r="J171" i="27"/>
  <c r="AD150" i="27"/>
  <c r="AD165" i="27" s="1"/>
  <c r="E143" i="27"/>
  <c r="F154" i="27"/>
  <c r="AA154" i="27" s="1"/>
  <c r="Z165" i="27"/>
  <c r="F143" i="27"/>
  <c r="AB141" i="27"/>
  <c r="AB143" i="27" s="1"/>
  <c r="E120" i="27"/>
  <c r="E133" i="27" s="1"/>
  <c r="X120" i="27"/>
  <c r="D118" i="27"/>
  <c r="Y118" i="27" s="1"/>
  <c r="X118" i="27"/>
  <c r="I120" i="27"/>
  <c r="AC120" i="27"/>
  <c r="AC133" i="27" s="1"/>
  <c r="D107" i="27"/>
  <c r="Y107" i="27" s="1"/>
  <c r="X107" i="27"/>
  <c r="AC110" i="27"/>
  <c r="D117" i="27"/>
  <c r="Y117" i="27" s="1"/>
  <c r="X117" i="27"/>
  <c r="D125" i="27"/>
  <c r="Y125" i="27" s="1"/>
  <c r="D109" i="27"/>
  <c r="Y109" i="27" s="1"/>
  <c r="X109" i="27"/>
  <c r="D108" i="27"/>
  <c r="Y108" i="27" s="1"/>
  <c r="X108" i="27"/>
  <c r="D121" i="27"/>
  <c r="Y121" i="27" s="1"/>
  <c r="X121" i="27"/>
  <c r="D122" i="27"/>
  <c r="Y122" i="27" s="1"/>
  <c r="D124" i="27"/>
  <c r="Y124" i="27" s="1"/>
  <c r="D119" i="27"/>
  <c r="Y119" i="27" s="1"/>
  <c r="X119" i="27"/>
  <c r="D123" i="27"/>
  <c r="Y123" i="27" s="1"/>
  <c r="Y96" i="27"/>
  <c r="D106" i="27"/>
  <c r="Y106" i="27" s="1"/>
  <c r="D103" i="27"/>
  <c r="Y103" i="27" s="1"/>
  <c r="X103" i="27"/>
  <c r="D69" i="27"/>
  <c r="Y69" i="27" s="1"/>
  <c r="D67" i="27"/>
  <c r="Y67" i="27" s="1"/>
  <c r="Y104" i="27"/>
  <c r="X104" i="27"/>
  <c r="D85" i="27"/>
  <c r="Y85" i="27" s="1"/>
  <c r="X85" i="27"/>
  <c r="D83" i="27"/>
  <c r="Y83" i="27" s="1"/>
  <c r="X83" i="27"/>
  <c r="D84" i="27"/>
  <c r="Y84" i="27" s="1"/>
  <c r="X84" i="27"/>
  <c r="D86" i="27"/>
  <c r="Y86" i="27" s="1"/>
  <c r="X86" i="27"/>
  <c r="D68" i="27"/>
  <c r="Y68" i="27" s="1"/>
  <c r="X68" i="27"/>
  <c r="E251" i="27"/>
  <c r="E253" i="27" s="1"/>
  <c r="I165" i="27"/>
  <c r="I211" i="27"/>
  <c r="D70" i="27"/>
  <c r="Y70" i="27" s="1"/>
  <c r="X70" i="27"/>
  <c r="X52" i="27"/>
  <c r="X54" i="27"/>
  <c r="X53" i="27"/>
  <c r="X55" i="27"/>
  <c r="Y26" i="27"/>
  <c r="Y25" i="27"/>
  <c r="Y27" i="27"/>
  <c r="X12" i="27"/>
  <c r="X9" i="27"/>
  <c r="X11" i="27"/>
  <c r="D266" i="27"/>
  <c r="Y266" i="27" s="1"/>
  <c r="Y28" i="27"/>
  <c r="Y198" i="27"/>
  <c r="H261" i="27"/>
  <c r="AC261" i="27" s="1"/>
  <c r="E211" i="27"/>
  <c r="E212" i="27" s="1"/>
  <c r="H264" i="27"/>
  <c r="AC264" i="27" s="1"/>
  <c r="H263" i="27"/>
  <c r="AC263" i="27" s="1"/>
  <c r="E165" i="27"/>
  <c r="E167" i="27" s="1"/>
  <c r="I251" i="27"/>
  <c r="H268" i="27"/>
  <c r="AC268" i="27" s="1"/>
  <c r="D268" i="27"/>
  <c r="Y268" i="27" s="1"/>
  <c r="W166" i="27" l="1"/>
  <c r="I167" i="27"/>
  <c r="D167" i="27"/>
  <c r="E14" i="27"/>
  <c r="Z25" i="27"/>
  <c r="Z39" i="27" s="1"/>
  <c r="E39" i="27"/>
  <c r="E42" i="27" s="1"/>
  <c r="S171" i="27"/>
  <c r="V171" i="27"/>
  <c r="R171" i="27"/>
  <c r="AC270" i="27"/>
  <c r="D269" i="27"/>
  <c r="Y269" i="27" s="1"/>
  <c r="X269" i="27"/>
  <c r="E232" i="27"/>
  <c r="E234" i="27" s="1"/>
  <c r="J172" i="27"/>
  <c r="Z211" i="27"/>
  <c r="Z199" i="27"/>
  <c r="Z201" i="27" s="1"/>
  <c r="E201" i="27"/>
  <c r="F165" i="27"/>
  <c r="AB311" i="27"/>
  <c r="AA165" i="27"/>
  <c r="I133" i="27"/>
  <c r="I311" i="27" s="1"/>
  <c r="I312" i="27" s="1"/>
  <c r="AD120" i="27"/>
  <c r="AD133" i="27" s="1"/>
  <c r="Z120" i="27"/>
  <c r="Z133" i="27" s="1"/>
  <c r="E15" i="27" l="1"/>
  <c r="D6" i="27"/>
  <c r="F311" i="27"/>
  <c r="F312" i="27" s="1"/>
  <c r="F167" i="27"/>
  <c r="R173" i="27"/>
  <c r="Z171" i="27"/>
  <c r="V175" i="27"/>
  <c r="V173" i="27"/>
  <c r="AD171" i="27"/>
  <c r="AD173" i="27" s="1"/>
  <c r="AD311" i="27" s="1"/>
  <c r="S173" i="27"/>
  <c r="AA171" i="27"/>
  <c r="AA173" i="27" s="1"/>
  <c r="AA311" i="27" s="1"/>
  <c r="I283" i="28"/>
  <c r="E283" i="28"/>
  <c r="F254" i="28"/>
  <c r="E253" i="28"/>
  <c r="W253" i="28" s="1"/>
  <c r="E252" i="28"/>
  <c r="W252" i="28" s="1"/>
  <c r="F247" i="28"/>
  <c r="E245" i="28"/>
  <c r="W245" i="28" s="1"/>
  <c r="D244" i="28"/>
  <c r="V244" i="28" s="1"/>
  <c r="D243" i="28"/>
  <c r="V243" i="28" s="1"/>
  <c r="D242" i="28"/>
  <c r="V242" i="28" s="1"/>
  <c r="E241" i="28"/>
  <c r="O241" i="28" s="1"/>
  <c r="W241" i="28" s="1"/>
  <c r="F235" i="28"/>
  <c r="D231" i="28"/>
  <c r="V231" i="28" s="1"/>
  <c r="E230" i="28"/>
  <c r="I229" i="28"/>
  <c r="AA229" i="28" s="1"/>
  <c r="E229" i="28"/>
  <c r="W229" i="28" s="1"/>
  <c r="F223" i="28"/>
  <c r="E222" i="28"/>
  <c r="D221" i="28"/>
  <c r="E221" i="28" s="1"/>
  <c r="D220" i="28"/>
  <c r="E220" i="28" s="1"/>
  <c r="F210" i="28"/>
  <c r="X210" i="28" s="1"/>
  <c r="E210" i="28"/>
  <c r="W210" i="28" s="1"/>
  <c r="F209" i="28"/>
  <c r="X209" i="28" s="1"/>
  <c r="E209" i="28"/>
  <c r="W209" i="28" s="1"/>
  <c r="F208" i="28"/>
  <c r="X208" i="28" s="1"/>
  <c r="E208" i="28"/>
  <c r="W208" i="28" s="1"/>
  <c r="F207" i="28"/>
  <c r="E207" i="28"/>
  <c r="W207" i="28" s="1"/>
  <c r="F199" i="28"/>
  <c r="X199" i="28" s="1"/>
  <c r="E199" i="28"/>
  <c r="W199" i="28" s="1"/>
  <c r="F198" i="28"/>
  <c r="X198" i="28" s="1"/>
  <c r="E198" i="28"/>
  <c r="W198" i="28" s="1"/>
  <c r="F197" i="28"/>
  <c r="X197" i="28" s="1"/>
  <c r="E197" i="28"/>
  <c r="F196" i="28"/>
  <c r="X196" i="28" s="1"/>
  <c r="E196" i="28"/>
  <c r="W196" i="28" s="1"/>
  <c r="F195" i="28"/>
  <c r="E195" i="28"/>
  <c r="W195" i="28" s="1"/>
  <c r="I189" i="28"/>
  <c r="AA189" i="28" s="1"/>
  <c r="F189" i="28"/>
  <c r="X189" i="28" s="1"/>
  <c r="E189" i="28"/>
  <c r="W189" i="28" s="1"/>
  <c r="I188" i="28"/>
  <c r="AA188" i="28" s="1"/>
  <c r="F188" i="28"/>
  <c r="X188" i="28" s="1"/>
  <c r="E188" i="28"/>
  <c r="W188" i="28" s="1"/>
  <c r="F182" i="28"/>
  <c r="X182" i="28" s="1"/>
  <c r="E182" i="28"/>
  <c r="F181" i="28"/>
  <c r="X181" i="28" s="1"/>
  <c r="E181" i="28"/>
  <c r="F180" i="28"/>
  <c r="X180" i="28" s="1"/>
  <c r="E180" i="28"/>
  <c r="W180" i="28" s="1"/>
  <c r="F172" i="28"/>
  <c r="X172" i="28" s="1"/>
  <c r="E172" i="28"/>
  <c r="I171" i="28"/>
  <c r="AA171" i="28" s="1"/>
  <c r="F171" i="28"/>
  <c r="X171" i="28" s="1"/>
  <c r="E171" i="28"/>
  <c r="D170" i="28"/>
  <c r="E162" i="28"/>
  <c r="E161" i="28"/>
  <c r="E154" i="28"/>
  <c r="E153" i="28"/>
  <c r="E152" i="28"/>
  <c r="D150" i="28"/>
  <c r="D148" i="28"/>
  <c r="E147" i="28"/>
  <c r="D146" i="28"/>
  <c r="D145" i="28"/>
  <c r="D136" i="28"/>
  <c r="D135" i="28"/>
  <c r="D134" i="28"/>
  <c r="E133" i="28"/>
  <c r="D132" i="28"/>
  <c r="E131" i="28"/>
  <c r="E130" i="28"/>
  <c r="D129" i="28"/>
  <c r="D128" i="28"/>
  <c r="G121" i="28"/>
  <c r="G285" i="28" s="1"/>
  <c r="I111" i="28"/>
  <c r="F120" i="28"/>
  <c r="X120" i="28" s="1"/>
  <c r="E120" i="28"/>
  <c r="W120" i="28" s="1"/>
  <c r="C118" i="28"/>
  <c r="F117" i="28"/>
  <c r="X117" i="28" s="1"/>
  <c r="E117" i="28"/>
  <c r="W117" i="28" s="1"/>
  <c r="F116" i="28"/>
  <c r="X116" i="28" s="1"/>
  <c r="E116" i="28"/>
  <c r="W116" i="28" s="1"/>
  <c r="F115" i="28"/>
  <c r="X115" i="28" s="1"/>
  <c r="E115" i="28"/>
  <c r="W115" i="28" s="1"/>
  <c r="F114" i="28"/>
  <c r="X114" i="28" s="1"/>
  <c r="E114" i="28"/>
  <c r="W114" i="28" s="1"/>
  <c r="F113" i="28"/>
  <c r="X113" i="28" s="1"/>
  <c r="E113" i="28"/>
  <c r="W113" i="28" s="1"/>
  <c r="F112" i="28"/>
  <c r="X112" i="28" s="1"/>
  <c r="E112" i="28"/>
  <c r="W112" i="28" s="1"/>
  <c r="F111" i="28"/>
  <c r="X111" i="28" s="1"/>
  <c r="E111" i="28"/>
  <c r="W111" i="28" s="1"/>
  <c r="C101" i="28"/>
  <c r="U101" i="28" s="1"/>
  <c r="C100" i="28"/>
  <c r="C99" i="28"/>
  <c r="I91" i="28"/>
  <c r="C90" i="28"/>
  <c r="D88" i="28"/>
  <c r="V88" i="28" s="1"/>
  <c r="C88" i="28"/>
  <c r="U88" i="28" s="1"/>
  <c r="C87" i="28"/>
  <c r="U87" i="28" s="1"/>
  <c r="E77" i="28"/>
  <c r="E76" i="28"/>
  <c r="D75" i="28"/>
  <c r="D73" i="28"/>
  <c r="D72" i="28"/>
  <c r="C72" i="28"/>
  <c r="E71" i="28"/>
  <c r="D68" i="28"/>
  <c r="D63" i="28"/>
  <c r="D62" i="28"/>
  <c r="F61" i="28"/>
  <c r="E61" i="28"/>
  <c r="F60" i="28"/>
  <c r="E60" i="28"/>
  <c r="D53" i="28"/>
  <c r="D51" i="28"/>
  <c r="C51" i="28"/>
  <c r="U51" i="28" s="1"/>
  <c r="D50" i="28"/>
  <c r="C50" i="28"/>
  <c r="U50" i="28" s="1"/>
  <c r="D49" i="28"/>
  <c r="C49" i="28"/>
  <c r="U49" i="28" s="1"/>
  <c r="D12" i="28"/>
  <c r="C12" i="28"/>
  <c r="U12" i="28" s="1"/>
  <c r="D10" i="28"/>
  <c r="V10" i="28" s="1"/>
  <c r="D8" i="28"/>
  <c r="U8" i="28"/>
  <c r="J170" i="28" l="1"/>
  <c r="V170" i="28"/>
  <c r="G12" i="49"/>
  <c r="S312" i="27"/>
  <c r="F12" i="49"/>
  <c r="V174" i="27"/>
  <c r="K12" i="49"/>
  <c r="K24" i="49" s="1"/>
  <c r="V312" i="27" s="1"/>
  <c r="W77" i="28"/>
  <c r="W130" i="28"/>
  <c r="V134" i="28"/>
  <c r="W162" i="28"/>
  <c r="W61" i="28"/>
  <c r="W67" i="28"/>
  <c r="U72" i="28"/>
  <c r="W154" i="28"/>
  <c r="X195" i="28"/>
  <c r="X200" i="28" s="1"/>
  <c r="F200" i="28"/>
  <c r="X61" i="28"/>
  <c r="V72" i="28"/>
  <c r="W76" i="28"/>
  <c r="W133" i="28"/>
  <c r="W60" i="28"/>
  <c r="W152" i="28"/>
  <c r="X207" i="28"/>
  <c r="X211" i="28" s="1"/>
  <c r="F211" i="28"/>
  <c r="X60" i="28"/>
  <c r="W71" i="28"/>
  <c r="W131" i="28"/>
  <c r="V135" i="28"/>
  <c r="W147" i="28"/>
  <c r="W153" i="28"/>
  <c r="W161" i="28"/>
  <c r="V12" i="28"/>
  <c r="V8" i="28"/>
  <c r="W211" i="28"/>
  <c r="W197" i="28"/>
  <c r="W200" i="28" s="1"/>
  <c r="F202" i="28"/>
  <c r="AA190" i="28"/>
  <c r="W254" i="28"/>
  <c r="E75" i="28"/>
  <c r="V75" i="28"/>
  <c r="E151" i="28"/>
  <c r="V151" i="28"/>
  <c r="E68" i="28"/>
  <c r="V68" i="28"/>
  <c r="E135" i="28"/>
  <c r="X190" i="28"/>
  <c r="F118" i="28"/>
  <c r="X118" i="28" s="1"/>
  <c r="U118" i="28"/>
  <c r="I121" i="28"/>
  <c r="AA111" i="28"/>
  <c r="AA121" i="28" s="1"/>
  <c r="E134" i="28"/>
  <c r="E146" i="28"/>
  <c r="V146" i="28"/>
  <c r="E73" i="28"/>
  <c r="V73" i="28"/>
  <c r="F128" i="28"/>
  <c r="V128" i="28"/>
  <c r="E132" i="28"/>
  <c r="V132" i="28"/>
  <c r="E136" i="28"/>
  <c r="V136" i="28"/>
  <c r="E148" i="28"/>
  <c r="V148" i="28"/>
  <c r="F129" i="28"/>
  <c r="V129" i="28"/>
  <c r="E145" i="28"/>
  <c r="V145" i="28"/>
  <c r="E150" i="28"/>
  <c r="V150" i="28"/>
  <c r="W190" i="28"/>
  <c r="W230" i="28"/>
  <c r="F63" i="28"/>
  <c r="V63" i="28"/>
  <c r="F62" i="28"/>
  <c r="V62" i="28"/>
  <c r="X183" i="28"/>
  <c r="E243" i="28"/>
  <c r="O243" i="28"/>
  <c r="E244" i="28"/>
  <c r="O244" i="28"/>
  <c r="E242" i="28"/>
  <c r="O242" i="28"/>
  <c r="I231" i="28"/>
  <c r="I235" i="28" s="1"/>
  <c r="K47" i="49" s="1"/>
  <c r="V220" i="28"/>
  <c r="O220" i="28"/>
  <c r="W182" i="28"/>
  <c r="W181" i="28"/>
  <c r="W172" i="28"/>
  <c r="W171" i="28"/>
  <c r="F170" i="28"/>
  <c r="X170" i="28" s="1"/>
  <c r="X173" i="28" s="1"/>
  <c r="E100" i="28"/>
  <c r="U100" i="28"/>
  <c r="E99" i="28"/>
  <c r="U99" i="28"/>
  <c r="E87" i="28"/>
  <c r="W87" i="28" s="1"/>
  <c r="E90" i="28"/>
  <c r="W90" i="28" s="1"/>
  <c r="U90" i="28"/>
  <c r="V49" i="28"/>
  <c r="E53" i="28"/>
  <c r="V53" i="28"/>
  <c r="V50" i="28"/>
  <c r="V51" i="28"/>
  <c r="E88" i="28"/>
  <c r="F183" i="28"/>
  <c r="U9" i="28"/>
  <c r="I170" i="28"/>
  <c r="AA170" i="28" s="1"/>
  <c r="E190" i="28"/>
  <c r="E231" i="28"/>
  <c r="E10" i="28"/>
  <c r="W10" i="28" s="1"/>
  <c r="F190" i="28"/>
  <c r="I190" i="28"/>
  <c r="E128" i="28"/>
  <c r="E8" i="28"/>
  <c r="W8" i="28" s="1"/>
  <c r="E101" i="28"/>
  <c r="W101" i="28" s="1"/>
  <c r="E129" i="28"/>
  <c r="E183" i="28"/>
  <c r="E200" i="28"/>
  <c r="D194" i="28" s="1"/>
  <c r="V194" i="28" s="1"/>
  <c r="E211" i="28"/>
  <c r="E223" i="28"/>
  <c r="E12" i="28"/>
  <c r="W12" i="28" s="1"/>
  <c r="E72" i="28"/>
  <c r="E254" i="28"/>
  <c r="E63" i="28"/>
  <c r="E49" i="28"/>
  <c r="E50" i="28"/>
  <c r="W50" i="28" s="1"/>
  <c r="E51" i="28"/>
  <c r="E62" i="28"/>
  <c r="E118" i="28"/>
  <c r="W118" i="28" s="1"/>
  <c r="E170" i="28"/>
  <c r="W170" i="28" s="1"/>
  <c r="G24" i="49" l="1"/>
  <c r="G99" i="49" s="1"/>
  <c r="I12" i="49"/>
  <c r="W148" i="28"/>
  <c r="X63" i="28"/>
  <c r="W150" i="28"/>
  <c r="X129" i="28"/>
  <c r="W136" i="28"/>
  <c r="X128" i="28"/>
  <c r="W146" i="28"/>
  <c r="W63" i="28"/>
  <c r="W145" i="28"/>
  <c r="W163" i="28"/>
  <c r="W132" i="28"/>
  <c r="W73" i="28"/>
  <c r="W129" i="28"/>
  <c r="W151" i="28"/>
  <c r="W62" i="28"/>
  <c r="W72" i="28"/>
  <c r="X62" i="28"/>
  <c r="W134" i="28"/>
  <c r="W135" i="28"/>
  <c r="W68" i="28"/>
  <c r="W75" i="28"/>
  <c r="I129" i="28"/>
  <c r="W128" i="28"/>
  <c r="X121" i="28"/>
  <c r="E163" i="28"/>
  <c r="E165" i="28" s="1"/>
  <c r="F121" i="28"/>
  <c r="I128" i="28"/>
  <c r="F138" i="28"/>
  <c r="W183" i="28"/>
  <c r="E155" i="28"/>
  <c r="E156" i="28" s="1"/>
  <c r="F78" i="28"/>
  <c r="W244" i="28"/>
  <c r="E247" i="28"/>
  <c r="W243" i="28"/>
  <c r="F173" i="28"/>
  <c r="W242" i="28"/>
  <c r="O247" i="28"/>
  <c r="F42" i="63" s="1"/>
  <c r="AA231" i="28"/>
  <c r="AA235" i="28" s="1"/>
  <c r="O231" i="28"/>
  <c r="O235" i="28" s="1"/>
  <c r="F41" i="63" s="1"/>
  <c r="V221" i="28"/>
  <c r="O221" i="28"/>
  <c r="W221" i="28" s="1"/>
  <c r="V222" i="28"/>
  <c r="O222" i="28"/>
  <c r="W222" i="28" s="1"/>
  <c r="W220" i="28"/>
  <c r="W173" i="28"/>
  <c r="I173" i="28"/>
  <c r="AA173" i="28"/>
  <c r="W99" i="28"/>
  <c r="E104" i="28"/>
  <c r="D97" i="28" s="1"/>
  <c r="W100" i="28"/>
  <c r="E91" i="28"/>
  <c r="D85" i="28" s="1"/>
  <c r="V85" i="28" s="1"/>
  <c r="W88" i="28"/>
  <c r="W91" i="28" s="1"/>
  <c r="W51" i="28"/>
  <c r="W53" i="28"/>
  <c r="W49" i="28"/>
  <c r="E235" i="28"/>
  <c r="E9" i="28"/>
  <c r="W9" i="28" s="1"/>
  <c r="W22" i="28" s="1"/>
  <c r="E173" i="28"/>
  <c r="E138" i="28"/>
  <c r="E139" i="28" s="1"/>
  <c r="E78" i="28"/>
  <c r="E79" i="28" s="1"/>
  <c r="E121" i="28"/>
  <c r="F122" i="28" s="1"/>
  <c r="E54" i="28"/>
  <c r="I41" i="63" l="1"/>
  <c r="I42" i="63"/>
  <c r="K99" i="49"/>
  <c r="O238" i="28"/>
  <c r="X138" i="28"/>
  <c r="W78" i="28"/>
  <c r="W155" i="28"/>
  <c r="AA128" i="28"/>
  <c r="AA129" i="28"/>
  <c r="F285" i="28"/>
  <c r="X228" i="28"/>
  <c r="F42" i="49"/>
  <c r="I138" i="28"/>
  <c r="W104" i="28"/>
  <c r="W121" i="28"/>
  <c r="W231" i="28"/>
  <c r="W235" i="28" s="1"/>
  <c r="W247" i="28"/>
  <c r="O223" i="28"/>
  <c r="F40" i="63" s="1"/>
  <c r="W223" i="28"/>
  <c r="W54" i="28"/>
  <c r="E22" i="28"/>
  <c r="F103" i="49" l="1"/>
  <c r="I40" i="63"/>
  <c r="I47" i="63"/>
  <c r="E285" i="28"/>
  <c r="E286" i="28" s="1"/>
  <c r="D4" i="28"/>
  <c r="J8" i="28" s="1"/>
  <c r="I42" i="49"/>
  <c r="AA138" i="28"/>
  <c r="AA285" i="28" s="1"/>
  <c r="AA286" i="28" s="1"/>
  <c r="I285" i="28"/>
  <c r="E23" i="28"/>
  <c r="O225" i="28"/>
  <c r="F41" i="49"/>
  <c r="F40" i="49"/>
  <c r="X78" i="28"/>
  <c r="X285" i="28" s="1"/>
  <c r="X286" i="28" s="1"/>
  <c r="M47" i="49" l="1"/>
  <c r="M99" i="49" s="1"/>
  <c r="I40" i="49"/>
  <c r="I41" i="49"/>
  <c r="F104" i="49" l="1"/>
  <c r="I47" i="49"/>
  <c r="W264" i="28"/>
  <c r="O138" i="28" l="1"/>
  <c r="F32" i="63" s="1"/>
  <c r="H32" i="63" l="1"/>
  <c r="F47" i="63"/>
  <c r="O285" i="28"/>
  <c r="F32" i="49"/>
  <c r="W138" i="28"/>
  <c r="W285" i="28" s="1"/>
  <c r="W286" i="28" s="1"/>
  <c r="Y6" i="30"/>
  <c r="Z6" i="30"/>
  <c r="Z9" i="30" s="1"/>
  <c r="P47" i="63" l="1"/>
  <c r="H47" i="63"/>
  <c r="E47" i="63"/>
  <c r="F47" i="49"/>
  <c r="H32" i="49"/>
  <c r="H47" i="49" l="1"/>
  <c r="E47" i="49"/>
  <c r="F48" i="49"/>
  <c r="F61" i="49" l="1"/>
  <c r="I48" i="49"/>
  <c r="I61" i="49" l="1"/>
  <c r="E61" i="49"/>
  <c r="R138" i="30"/>
  <c r="R12" i="27"/>
  <c r="Z12" i="27" s="1"/>
  <c r="R14" i="27" l="1"/>
  <c r="F2" i="63" s="1"/>
  <c r="I2" i="63" s="1"/>
  <c r="Z14" i="27"/>
  <c r="R52" i="27"/>
  <c r="Z52" i="27" s="1"/>
  <c r="Z57" i="27" s="1"/>
  <c r="R15" i="27" l="1"/>
  <c r="Q6" i="27"/>
  <c r="Y6" i="27" s="1"/>
  <c r="F2" i="49"/>
  <c r="R57" i="27"/>
  <c r="R70" i="27"/>
  <c r="R69" i="27"/>
  <c r="Z69" i="27" s="1"/>
  <c r="Y50" i="27" l="1"/>
  <c r="I2" i="49"/>
  <c r="F4" i="49"/>
  <c r="Z70" i="27"/>
  <c r="Z72" i="27" s="1"/>
  <c r="R72" i="27"/>
  <c r="R106" i="27"/>
  <c r="V74" i="27" l="1"/>
  <c r="I4" i="49"/>
  <c r="F5" i="49"/>
  <c r="Z106" i="27"/>
  <c r="Z110" i="27" s="1"/>
  <c r="R110" i="27"/>
  <c r="F8" i="63" s="1"/>
  <c r="I8" i="63" l="1"/>
  <c r="F24" i="63"/>
  <c r="Q101" i="27"/>
  <c r="I5" i="49"/>
  <c r="F8" i="49"/>
  <c r="R222" i="27"/>
  <c r="I24" i="63" l="1"/>
  <c r="I8" i="49"/>
  <c r="Z222" i="27"/>
  <c r="Z225" i="27" s="1"/>
  <c r="R225" i="27"/>
  <c r="R232" i="27" s="1"/>
  <c r="I99" i="63" l="1"/>
  <c r="R234" i="27"/>
  <c r="R233" i="27"/>
  <c r="F16" i="49"/>
  <c r="Z232" i="27"/>
  <c r="R279" i="27"/>
  <c r="R285" i="27" s="1"/>
  <c r="E279" i="27"/>
  <c r="E285" i="27" s="1"/>
  <c r="E311" i="27" l="1"/>
  <c r="E312" i="27" s="1"/>
  <c r="E286" i="27"/>
  <c r="P24" i="63"/>
  <c r="R286" i="27"/>
  <c r="F20" i="49"/>
  <c r="I16" i="49"/>
  <c r="Z279" i="27"/>
  <c r="Z285" i="27" s="1"/>
  <c r="Z311" i="27" s="1"/>
  <c r="R312" i="27" l="1"/>
  <c r="E24" i="63"/>
  <c r="F24" i="49"/>
  <c r="I20" i="49"/>
  <c r="E24" i="49" l="1"/>
  <c r="I24" i="49"/>
  <c r="I99" i="49" l="1"/>
  <c r="S58" i="30" l="1"/>
  <c r="R58" i="30"/>
  <c r="O185" i="28"/>
  <c r="R92" i="30"/>
  <c r="Y19" i="30"/>
  <c r="Z19" i="30" l="1"/>
  <c r="Z31" i="30" s="1"/>
  <c r="Z137" i="30" s="1"/>
  <c r="R286" i="28" l="1"/>
  <c r="Q286" i="28" l="1"/>
  <c r="O176" i="28" l="1"/>
  <c r="S176" i="28"/>
  <c r="P176" i="28"/>
  <c r="S286" i="28" l="1"/>
  <c r="O23" i="28" l="1"/>
  <c r="R101" i="30" l="1"/>
  <c r="O107" i="28"/>
  <c r="V101" i="30"/>
  <c r="S101" i="30"/>
  <c r="O94" i="28" l="1"/>
  <c r="R98" i="31"/>
  <c r="S98" i="31"/>
  <c r="V98" i="31"/>
  <c r="T12" i="32" l="1"/>
  <c r="P12" i="32"/>
  <c r="U12" i="32" s="1"/>
  <c r="U13" i="32" s="1"/>
  <c r="P13" i="32"/>
  <c r="F97" i="49" l="1"/>
  <c r="H97" i="49" s="1"/>
  <c r="F97" i="63"/>
  <c r="P97" i="63" s="1"/>
  <c r="H97" i="63"/>
  <c r="W97" i="54" l="1"/>
  <c r="O83" i="54" l="1"/>
  <c r="O100" i="54"/>
  <c r="N100" i="54" l="1"/>
  <c r="V100" i="54" s="1"/>
  <c r="W100" i="54"/>
  <c r="W103" i="54" s="1"/>
  <c r="O103" i="54"/>
  <c r="W83" i="54"/>
  <c r="W85" i="54" s="1"/>
  <c r="N83" i="54"/>
  <c r="V83" i="54" s="1"/>
  <c r="O85" i="54"/>
  <c r="F85" i="63" s="1"/>
  <c r="F85" i="49" l="1"/>
  <c r="W110" i="54"/>
  <c r="O110" i="54"/>
  <c r="F87" i="49"/>
  <c r="N97" i="54"/>
  <c r="V97" i="54" s="1"/>
  <c r="F87" i="63"/>
  <c r="H87" i="63" s="1"/>
  <c r="H85" i="63"/>
  <c r="H87" i="49" l="1"/>
  <c r="H85" i="49"/>
  <c r="F89" i="49"/>
  <c r="F89" i="63"/>
  <c r="P89" i="63" s="1"/>
  <c r="H89" i="63"/>
  <c r="H99" i="63" s="1"/>
  <c r="H89" i="49" l="1"/>
  <c r="H99" i="49" s="1"/>
  <c r="F99" i="49"/>
  <c r="F99" i="63"/>
  <c r="F101" i="63" s="1"/>
  <c r="O111" i="54" l="1"/>
  <c r="F101" i="49"/>
  <c r="F102" i="49"/>
  <c r="F102" i="63"/>
  <c r="F108" i="63"/>
  <c r="O79" i="28"/>
  <c r="P286" i="28" l="1"/>
  <c r="O286" i="28" l="1"/>
  <c r="AD108" i="30"/>
  <c r="AC137" i="30"/>
  <c r="AC108" i="30"/>
  <c r="AB108" i="30"/>
  <c r="AB137" i="30"/>
  <c r="AA116" i="30"/>
  <c r="AA137" i="30"/>
  <c r="AD116" i="30"/>
  <c r="AD137" i="30"/>
  <c r="AA108" i="30"/>
</calcChain>
</file>

<file path=xl/comments1.xml><?xml version="1.0" encoding="utf-8"?>
<comments xmlns="http://schemas.openxmlformats.org/spreadsheetml/2006/main">
  <authors>
    <author>Gal shuv, Irit</author>
  </authors>
  <commentList>
    <comment ref="P13" authorId="0">
      <text>
        <r>
          <rPr>
            <b/>
            <sz val="9"/>
            <color indexed="81"/>
            <rFont val="Tahoma"/>
            <family val="2"/>
          </rPr>
          <t>Gal shuv, Irit:</t>
        </r>
        <r>
          <rPr>
            <sz val="9"/>
            <color indexed="81"/>
            <rFont val="Tahoma"/>
            <family val="2"/>
          </rPr>
          <t xml:space="preserve">
לא כולל ירידים שהיו
</t>
        </r>
      </text>
    </comment>
    <comment ref="U25" authorId="0">
      <text>
        <r>
          <rPr>
            <b/>
            <sz val="9"/>
            <color indexed="81"/>
            <rFont val="Tahoma"/>
            <family val="2"/>
          </rPr>
          <t>בטחון + שכירות</t>
        </r>
      </text>
    </comment>
    <comment ref="D33" authorId="0">
      <text>
        <r>
          <rPr>
            <b/>
            <sz val="9"/>
            <color indexed="81"/>
            <rFont val="Tahoma"/>
            <family val="2"/>
          </rPr>
          <t>Gal shuv, Irit:</t>
        </r>
        <r>
          <rPr>
            <sz val="9"/>
            <color indexed="81"/>
            <rFont val="Tahoma"/>
            <family val="2"/>
          </rPr>
          <t xml:space="preserve">
חצי עלות מהיריד הגדול
</t>
        </r>
      </text>
    </comment>
    <comment ref="Q33" authorId="0">
      <text>
        <r>
          <rPr>
            <b/>
            <sz val="9"/>
            <color indexed="81"/>
            <rFont val="Tahoma"/>
            <family val="2"/>
          </rPr>
          <t>Gal shuv, Irit:</t>
        </r>
        <r>
          <rPr>
            <sz val="9"/>
            <color indexed="81"/>
            <rFont val="Tahoma"/>
            <family val="2"/>
          </rPr>
          <t xml:space="preserve">
חצי עלות מהיריד הגדול
</t>
        </r>
      </text>
    </comment>
    <comment ref="Q104" authorId="0">
      <text>
        <r>
          <rPr>
            <b/>
            <sz val="9"/>
            <color indexed="81"/>
            <rFont val="Tahoma"/>
            <family val="2"/>
          </rPr>
          <t>Gal shuv, Irit:</t>
        </r>
        <r>
          <rPr>
            <sz val="9"/>
            <color indexed="81"/>
            <rFont val="Tahoma"/>
            <family val="2"/>
          </rPr>
          <t xml:space="preserve">
Gal shuv, Irit:
1. אביזרים מתודיים:  - שכירת ציוד כמו ברקו, מסך, מערכת הגברת קול וכו' (על פי הצורך).
- שכפול חומרים לתיק משתתף בסמינר – תכנית, פליירים על תכניות, דפי מידע וכו'.
- עיצוב אולמות הפעילות
- ציוד מתכלה
</t>
        </r>
      </text>
    </comment>
    <comment ref="P150" authorId="0">
      <text>
        <r>
          <rPr>
            <b/>
            <sz val="9"/>
            <color indexed="81"/>
            <rFont val="Tahoma"/>
            <family val="2"/>
          </rPr>
          <t>Gal shuv, Irit:</t>
        </r>
        <r>
          <rPr>
            <sz val="9"/>
            <color indexed="81"/>
            <rFont val="Tahoma"/>
            <family val="2"/>
          </rPr>
          <t xml:space="preserve">
טרם נמצא שליח נייד לחברובסק. חיושב לחברובסק ממרץ 2017</t>
        </r>
      </text>
    </comment>
    <comment ref="P159" authorId="0">
      <text>
        <r>
          <rPr>
            <b/>
            <sz val="9"/>
            <color indexed="81"/>
            <rFont val="Tahoma"/>
            <family val="2"/>
          </rPr>
          <t>Gal shuv, Irit:</t>
        </r>
        <r>
          <rPr>
            <sz val="9"/>
            <color indexed="81"/>
            <rFont val="Tahoma"/>
            <family val="2"/>
          </rPr>
          <t xml:space="preserve">
יצא ב 2015, לא חוזר ב 2016
</t>
        </r>
      </text>
    </comment>
    <comment ref="V283" authorId="0">
      <text>
        <r>
          <rPr>
            <b/>
            <sz val="9"/>
            <color indexed="81"/>
            <rFont val="Tahoma"/>
            <family val="2"/>
          </rPr>
          <t>Gal shuv, Irit:</t>
        </r>
        <r>
          <rPr>
            <sz val="9"/>
            <color indexed="81"/>
            <rFont val="Tahoma"/>
            <family val="2"/>
          </rPr>
          <t xml:space="preserve">
סוכנות: כתיבה עיצוב והגהה חומרי עליה
</t>
        </r>
      </text>
    </comment>
    <comment ref="B292" authorId="0">
      <text>
        <r>
          <rPr>
            <b/>
            <sz val="9"/>
            <color indexed="81"/>
            <rFont val="Tahoma"/>
            <family val="2"/>
          </rPr>
          <t>Gal shuv, Irit:</t>
        </r>
        <r>
          <rPr>
            <sz val="9"/>
            <color indexed="81"/>
            <rFont val="Tahoma"/>
            <family val="2"/>
          </rPr>
          <t xml:space="preserve">
 - מכוון - 
וירקואלי
</t>
        </r>
      </text>
    </comment>
    <comment ref="O292" authorId="0">
      <text>
        <r>
          <rPr>
            <b/>
            <sz val="9"/>
            <color indexed="81"/>
            <rFont val="Tahoma"/>
            <family val="2"/>
          </rPr>
          <t>Gal shuv, Irit:</t>
        </r>
        <r>
          <rPr>
            <sz val="9"/>
            <color indexed="81"/>
            <rFont val="Tahoma"/>
            <family val="2"/>
          </rPr>
          <t xml:space="preserve">
 - מכוון - 
וירקואלי
</t>
        </r>
      </text>
    </comment>
  </commentList>
</comments>
</file>

<file path=xl/comments2.xml><?xml version="1.0" encoding="utf-8"?>
<comments xmlns="http://schemas.openxmlformats.org/spreadsheetml/2006/main">
  <authors>
    <author>IRIT</author>
    <author>Gal shuv, Irit</author>
    <author xml:space="preserve"> </author>
    <author>LLN</author>
  </authors>
  <commentList>
    <comment ref="B74" authorId="0">
      <text>
        <r>
          <rPr>
            <b/>
            <sz val="9"/>
            <color indexed="81"/>
            <rFont val="Tahoma"/>
            <family val="2"/>
          </rPr>
          <t>IRIT:</t>
        </r>
        <r>
          <rPr>
            <sz val="9"/>
            <color indexed="81"/>
            <rFont val="Tahoma"/>
            <family val="2"/>
          </rPr>
          <t xml:space="preserve">
2 מורים מהארץ
</t>
        </r>
      </text>
    </comment>
    <comment ref="L103" authorId="1">
      <text>
        <r>
          <rPr>
            <b/>
            <sz val="9"/>
            <color indexed="81"/>
            <rFont val="Tahoma"/>
            <family val="2"/>
          </rPr>
          <t>Gal shuv, Irit:</t>
        </r>
        <r>
          <rPr>
            <sz val="9"/>
            <color indexed="81"/>
            <rFont val="Tahoma"/>
            <family val="2"/>
          </rPr>
          <t xml:space="preserve">
לכל הסמינר
</t>
        </r>
      </text>
    </comment>
    <comment ref="N210" authorId="1">
      <text>
        <r>
          <rPr>
            <b/>
            <sz val="9"/>
            <color indexed="81"/>
            <rFont val="Tahoma"/>
            <family val="2"/>
          </rPr>
          <t>Gal shuv, Irit:</t>
        </r>
        <r>
          <rPr>
            <sz val="9"/>
            <color indexed="81"/>
            <rFont val="Tahoma"/>
            <family val="2"/>
          </rPr>
          <t xml:space="preserve">
היה טעות בחישוב ולא הוכפל בדולרים במקור
</t>
        </r>
      </text>
    </comment>
    <comment ref="C243" authorId="2">
      <text>
        <r>
          <rPr>
            <b/>
            <sz val="9"/>
            <color indexed="81"/>
            <rFont val="Tahoma"/>
            <family val="2"/>
          </rPr>
          <t xml:space="preserve"> :</t>
        </r>
        <r>
          <rPr>
            <sz val="9"/>
            <color indexed="81"/>
            <rFont val="Tahoma"/>
            <family val="2"/>
          </rPr>
          <t xml:space="preserve">
8 ירידים
3 סמינרים
10 סמינרים
וסיורי גישוש</t>
        </r>
      </text>
    </comment>
    <comment ref="M246" authorId="3">
      <text>
        <r>
          <rPr>
            <sz val="9"/>
            <color indexed="81"/>
            <rFont val="Tahoma"/>
            <family val="2"/>
          </rPr>
          <t>רדיו : עד 500 תשדירים ארציים 
עיתונות כתובה :עד 10 דפים חודשים 
רשתות חברתיות – קידום של עד 5 נושאים והפצה סרטון שבועי 
לשבעה חודשים</t>
        </r>
      </text>
    </comment>
  </commentList>
</comments>
</file>

<file path=xl/comments3.xml><?xml version="1.0" encoding="utf-8"?>
<comments xmlns="http://schemas.openxmlformats.org/spreadsheetml/2006/main">
  <authors>
    <author>Gal shuv, Irit</author>
    <author>IRIT</author>
  </authors>
  <commentList>
    <comment ref="L16" authorId="0">
      <text>
        <r>
          <rPr>
            <b/>
            <sz val="9"/>
            <color indexed="81"/>
            <rFont val="Tahoma"/>
            <family val="2"/>
          </rPr>
          <t>Gal shuv, Irit:</t>
        </r>
        <r>
          <rPr>
            <sz val="9"/>
            <color indexed="81"/>
            <rFont val="Tahoma"/>
            <family val="2"/>
          </rPr>
          <t xml:space="preserve">
2 מורים בחדר
</t>
        </r>
      </text>
    </comment>
    <comment ref="B17" authorId="1">
      <text>
        <r>
          <rPr>
            <b/>
            <sz val="9"/>
            <color indexed="81"/>
            <rFont val="Tahoma"/>
            <family val="2"/>
          </rPr>
          <t>IRIT:</t>
        </r>
        <r>
          <rPr>
            <sz val="9"/>
            <color indexed="81"/>
            <rFont val="Tahoma"/>
            <family val="2"/>
          </rPr>
          <t xml:space="preserve">
2 מורים מהארץ
</t>
        </r>
      </text>
    </comment>
    <comment ref="L17" authorId="1">
      <text>
        <r>
          <rPr>
            <b/>
            <sz val="9"/>
            <color indexed="81"/>
            <rFont val="Tahoma"/>
            <family val="2"/>
          </rPr>
          <t>IRIT:</t>
        </r>
        <r>
          <rPr>
            <sz val="9"/>
            <color indexed="81"/>
            <rFont val="Tahoma"/>
            <family val="2"/>
          </rPr>
          <t xml:space="preserve">
2 מורים מהארץ
</t>
        </r>
      </text>
    </comment>
  </commentList>
</comments>
</file>

<file path=xl/comments4.xml><?xml version="1.0" encoding="utf-8"?>
<comments xmlns="http://schemas.openxmlformats.org/spreadsheetml/2006/main">
  <authors>
    <author>Windows7</author>
  </authors>
  <commentList>
    <comment ref="B27" authorId="0">
      <text>
        <r>
          <rPr>
            <b/>
            <sz val="9"/>
            <color indexed="81"/>
            <rFont val="Tahoma"/>
            <family val="2"/>
          </rPr>
          <t>Windows7:</t>
        </r>
        <r>
          <rPr>
            <sz val="9"/>
            <color indexed="81"/>
            <rFont val="Tahoma"/>
            <family val="2"/>
          </rPr>
          <t xml:space="preserve">
לבדיקה - האם יספיק להביא מורה אחד במקום 2</t>
        </r>
      </text>
    </comment>
    <comment ref="O27" authorId="0">
      <text>
        <r>
          <rPr>
            <b/>
            <sz val="9"/>
            <color indexed="81"/>
            <rFont val="Tahoma"/>
            <family val="2"/>
          </rPr>
          <t>Windows7:</t>
        </r>
        <r>
          <rPr>
            <sz val="9"/>
            <color indexed="81"/>
            <rFont val="Tahoma"/>
            <family val="2"/>
          </rPr>
          <t xml:space="preserve">
לבדיקה - האם יספיק להביא מורה אחד במקום 2</t>
        </r>
      </text>
    </comment>
  </commentList>
</comments>
</file>

<file path=xl/comments5.xml><?xml version="1.0" encoding="utf-8"?>
<comments xmlns="http://schemas.openxmlformats.org/spreadsheetml/2006/main">
  <authors>
    <author>Windows7</author>
  </authors>
  <commentList>
    <comment ref="B28" authorId="0">
      <text>
        <r>
          <rPr>
            <b/>
            <sz val="9"/>
            <color indexed="81"/>
            <rFont val="Tahoma"/>
            <family val="2"/>
          </rPr>
          <t>Windows7:</t>
        </r>
        <r>
          <rPr>
            <sz val="9"/>
            <color indexed="81"/>
            <rFont val="Tahoma"/>
            <family val="2"/>
          </rPr>
          <t xml:space="preserve">
לבדיקה - האם יספיק להביא מורה אחד במקום 2</t>
        </r>
      </text>
    </comment>
    <comment ref="O28" authorId="0">
      <text>
        <r>
          <rPr>
            <b/>
            <sz val="9"/>
            <color indexed="81"/>
            <rFont val="Tahoma"/>
            <family val="2"/>
          </rPr>
          <t>Windows7:</t>
        </r>
        <r>
          <rPr>
            <sz val="9"/>
            <color indexed="81"/>
            <rFont val="Tahoma"/>
            <family val="2"/>
          </rPr>
          <t xml:space="preserve">
לבדיקה - האם יספיק להביא מורה אחד במקום 2</t>
        </r>
      </text>
    </comment>
  </commentList>
</comments>
</file>

<file path=xl/sharedStrings.xml><?xml version="1.0" encoding="utf-8"?>
<sst xmlns="http://schemas.openxmlformats.org/spreadsheetml/2006/main" count="4652" uniqueCount="913">
  <si>
    <t>הערות</t>
  </si>
  <si>
    <t>סוכנות</t>
  </si>
  <si>
    <t>הצ"ע</t>
  </si>
  <si>
    <t>תוכנית</t>
  </si>
  <si>
    <t>ירידי עידוד עליה</t>
  </si>
  <si>
    <t xml:space="preserve">סמינרי הכנה לעולים </t>
  </si>
  <si>
    <t>כח אדם</t>
  </si>
  <si>
    <t>רכז פעילות</t>
  </si>
  <si>
    <t>גלובל</t>
  </si>
  <si>
    <t>הכשרה</t>
  </si>
  <si>
    <t>הכשרת צוותים לפני פעילות</t>
  </si>
  <si>
    <t>הכשרת מדריכים ישראלים לפני מחנות סטודנטים (כלל חמ"ע)</t>
  </si>
  <si>
    <t>מחנות עלייה לסטודנטים</t>
  </si>
  <si>
    <t>סה"כ</t>
  </si>
  <si>
    <t>צרפת ובלגיה</t>
  </si>
  <si>
    <t>הצע</t>
  </si>
  <si>
    <t>אנגליה</t>
  </si>
  <si>
    <t>מדינה</t>
  </si>
  <si>
    <t>סה"כ צרפת</t>
  </si>
  <si>
    <t>סה"כ  תוכניות</t>
  </si>
  <si>
    <t>בלתי צפוי</t>
  </si>
  <si>
    <t>חמ"ע</t>
  </si>
  <si>
    <t>ארגנטינה</t>
  </si>
  <si>
    <t>ברזיל</t>
  </si>
  <si>
    <t>סה"כ ארגנטינה</t>
  </si>
  <si>
    <t>סה"כ ברזיל</t>
  </si>
  <si>
    <t>מרכזי תעסוקה</t>
  </si>
  <si>
    <t>סמינרי עידוד עלייה</t>
  </si>
  <si>
    <t>עידוד עליה בערי הפרפריה</t>
  </si>
  <si>
    <t>סמינרים</t>
  </si>
  <si>
    <t>י"ח</t>
  </si>
  <si>
    <t>התאמה</t>
  </si>
  <si>
    <t>סה"כ חמ"ע</t>
  </si>
  <si>
    <t>גלובל סנטר</t>
  </si>
  <si>
    <t>ערבי מידע</t>
  </si>
  <si>
    <t>WEBINARS</t>
  </si>
  <si>
    <t>רכזי מתנדבים</t>
  </si>
  <si>
    <t>סיורי גישוש</t>
  </si>
  <si>
    <t>שליחי עידוד עלייה לאוכלוסיות צעירות</t>
  </si>
  <si>
    <t xml:space="preserve">יועצים תעסוקתיים והכרת תארים </t>
  </si>
  <si>
    <t>השקעת הצ"ע  ללא אופק ישראלי</t>
  </si>
  <si>
    <t>השקעת הסוכנות  ללא אופק ישראלי</t>
  </si>
  <si>
    <t>סה"כ לאנגליה</t>
  </si>
  <si>
    <t>שווק ופרסום חומרים עידוד עלייה</t>
  </si>
  <si>
    <t xml:space="preserve">קורסים להתאמה מקצועית </t>
  </si>
  <si>
    <t>סמינר הכנה לעלייה</t>
  </si>
  <si>
    <t>חלף חלץ</t>
  </si>
  <si>
    <t>צרפת תחילה</t>
  </si>
  <si>
    <t>חדש</t>
  </si>
  <si>
    <t>המשך צרפת תחילה</t>
  </si>
  <si>
    <t>פעילות קיימת</t>
  </si>
  <si>
    <t xml:space="preserve">פעילות חדשה </t>
  </si>
  <si>
    <t>תחום פעילות</t>
  </si>
  <si>
    <t>פעילות לסטודנטים</t>
  </si>
  <si>
    <t>יחידות</t>
  </si>
  <si>
    <t xml:space="preserve">ירידי  עליה </t>
  </si>
  <si>
    <t xml:space="preserve">מרכזי הכנה לעליה - אולפנים </t>
  </si>
  <si>
    <t xml:space="preserve">מרכזי הכנה לעלייה </t>
  </si>
  <si>
    <t xml:space="preserve">מרכזי הכנה לעליה  </t>
  </si>
  <si>
    <t>תוספת מצ'ינג של 15% עבור כח אדם</t>
  </si>
  <si>
    <t>השקעות הצ"ע</t>
  </si>
  <si>
    <t>רכז פעילות עידוד עלייה</t>
  </si>
  <si>
    <t>תוכנית לך לך</t>
  </si>
  <si>
    <t xml:space="preserve"> רכז מרכזי הכנה ופעילות עידוד עלייה</t>
  </si>
  <si>
    <t>עמ"י עלייה</t>
  </si>
  <si>
    <t xml:space="preserve">יועצי תעסוקה </t>
  </si>
  <si>
    <t xml:space="preserve">בלתי צפוי </t>
  </si>
  <si>
    <t>שליח נייד לעידוד עלייה בקהילות</t>
  </si>
  <si>
    <t xml:space="preserve"> רכזי מתנדבים</t>
  </si>
  <si>
    <t xml:space="preserve"> שליחי עידוד עלייה לאוכלוסיות צעירות</t>
  </si>
  <si>
    <t>פעילות לפריפריה</t>
  </si>
  <si>
    <t>הכשרת מורים עולמית</t>
  </si>
  <si>
    <t>שכר רכז לוגיסטי ארצי</t>
  </si>
  <si>
    <t xml:space="preserve"> פעילויות לעידוד עלייה בקהילה ולגיבוש קבוצות עלייה- לטרום פותחי תיקי עליה</t>
  </si>
  <si>
    <t>עידוד עלייה בקהילות בדגש קהילות בינוניות וקטנות</t>
  </si>
  <si>
    <t>במימון במשרד</t>
  </si>
  <si>
    <t>במימון אופק ישראלי</t>
  </si>
  <si>
    <t>לשינוי בלת"מ</t>
  </si>
  <si>
    <t>סה"כ התקשרות</t>
  </si>
  <si>
    <t>התאמת 30 מליון</t>
  </si>
  <si>
    <t>מימון המשרד</t>
  </si>
  <si>
    <t>ההפרש הוא הסכום של הגלובל</t>
  </si>
  <si>
    <t xml:space="preserve"> שווק ופרסום חומרים עידוד עלייה</t>
  </si>
  <si>
    <t xml:space="preserve"> 4.8 שער היורו בצרפת המשך ₪.</t>
  </si>
  <si>
    <t xml:space="preserve">3.8 ₪ לדולר </t>
  </si>
  <si>
    <t>€</t>
  </si>
  <si>
    <t>ירידי עלייה (7)</t>
  </si>
  <si>
    <t>07/2016-12/2016</t>
  </si>
  <si>
    <t>מצב  ללא אופק ישראלי</t>
  </si>
  <si>
    <t xml:space="preserve">מרכיבים </t>
  </si>
  <si>
    <t xml:space="preserve"> יחידות</t>
  </si>
  <si>
    <t>הערכת עלות בש"ח ליחידה</t>
  </si>
  <si>
    <t>סה"כ עלות (צפי) שנתית</t>
  </si>
  <si>
    <t xml:space="preserve">ירידים *12 משתתפים  </t>
  </si>
  <si>
    <t>נציגים מהארץ</t>
  </si>
  <si>
    <t>משתתפים</t>
  </si>
  <si>
    <t>מתקן  17,500€</t>
  </si>
  <si>
    <t>אבטחה (150 אירו*4 מאבטחים) 600€</t>
  </si>
  <si>
    <t>ירידי  תעסוקה (15)</t>
  </si>
  <si>
    <t>טיסה (800€*4.8)</t>
  </si>
  <si>
    <t xml:space="preserve"> נסיעה + לינה וכלכלה + אש"ל  250€*4.8</t>
  </si>
  <si>
    <t>מתקן פריס 15,000€</t>
  </si>
  <si>
    <t>אבטחה 150</t>
  </si>
  <si>
    <t xml:space="preserve">*נסיעות ואש"ל מוצעת מסגרת תקציבית יתכן שעלות הכרטיס תהיה גבוהה יותר אך השהות קצרה יותר </t>
  </si>
  <si>
    <t>01/2016-12/2016</t>
  </si>
  <si>
    <t>סה"כ עלות (צפי) שנתית בניכוי 15%</t>
  </si>
  <si>
    <t xml:space="preserve">  השתתפות בעלות כח אדם  15%</t>
  </si>
  <si>
    <t>רכז לוגיסטי / מנהל פדגוגי</t>
  </si>
  <si>
    <t>שכר  מנהל פדגוגי (השלמה מהשנה שעברה)</t>
  </si>
  <si>
    <t>הוצאות מנהליות (שכ"ד, מחשוב, תקשורת, צרכי משרד וכיו"ב)</t>
  </si>
  <si>
    <t>נסיעות הדרכה ופיקוח: ביקור בכל כיתה לפחות פעם במחזור</t>
  </si>
  <si>
    <t xml:space="preserve">הוצאות לכיתות </t>
  </si>
  <si>
    <t xml:space="preserve">עלות כיתה </t>
  </si>
  <si>
    <t>בניכוי הכנסות  50 %</t>
  </si>
  <si>
    <t>חומרים חינוכיים (כפוף למספר תלמידים בפועל)</t>
  </si>
  <si>
    <t xml:space="preserve">הכשרות והשתלמויות מורים במהלך השנה: </t>
  </si>
  <si>
    <t>שכירות כיתת לימוד ל 5 ימים</t>
  </si>
  <si>
    <t>החזר נסיעות ל 50 מורים</t>
  </si>
  <si>
    <t>ארוחות וכיבוד ל 50 מורים ($10 א.בוקר, $30 א.צהריים, $10 כיבוד)</t>
  </si>
  <si>
    <t xml:space="preserve"> צוות הכשרת מורים מהארץ: </t>
  </si>
  <si>
    <t>2 מורים</t>
  </si>
  <si>
    <t xml:space="preserve">טיסה </t>
  </si>
  <si>
    <t>אש"ל+לינה (6 ימים, 5 לילות) 90$ אשל, 200$ לינה ו $200 נסיעות</t>
  </si>
  <si>
    <t>שכר מרצים לצוות ההכשרה:2 מרצים בכירים * 40 שעות</t>
  </si>
  <si>
    <t>יבוצע תאום עם משרד החינוך על תוכנית הלימודים</t>
  </si>
  <si>
    <t>פריסה הכיתות כולל הפריפריה של צרפת ובלגיה</t>
  </si>
  <si>
    <t>בכל כיתת אולפן  כ15 תלמידים ( מינימום 10 תלמידים)</t>
  </si>
  <si>
    <t xml:space="preserve"> (16)סמינר הכנה לעלייה</t>
  </si>
  <si>
    <r>
      <t xml:space="preserve">סמינרי הכנה </t>
    </r>
    <r>
      <rPr>
        <b/>
        <sz val="10"/>
        <color theme="1"/>
        <rFont val="Arial"/>
        <family val="2"/>
        <scheme val="minor"/>
      </rPr>
      <t>למעומדי עלייה</t>
    </r>
  </si>
  <si>
    <t>משתתפים בסמינר</t>
  </si>
  <si>
    <t>לינה וכלכלה סופ"ש 110€</t>
  </si>
  <si>
    <t xml:space="preserve"> מרצים 7  מהארץ טיסה 800€</t>
  </si>
  <si>
    <t>מרצים 7מהארץ אשל ללא לינה : אשל רגיל *1+אשל תנאי סמינר *2+ לינה יום אחד 330€</t>
  </si>
  <si>
    <t>קיימת השתתפות עצמית של המשתתפים לילה נוסף המשולמת ישירות המלון</t>
  </si>
  <si>
    <t>עדיפות לבוגרי תגלית</t>
  </si>
  <si>
    <t xml:space="preserve"> (17)סמינרי הכנה לעלייה בוגרי חוויות</t>
  </si>
  <si>
    <t>סמינרים (שני לילות)</t>
  </si>
  <si>
    <t>עלות בניכוי תשלום ישירות למלון לכל משתתף בסמינר (עלות חלקית של הסמינר)</t>
  </si>
  <si>
    <t xml:space="preserve">מרצים מהארץ טיסה </t>
  </si>
  <si>
    <t>מרצים מהארץ אשל 3 ימים  90+ לינה לילה אחד 940</t>
  </si>
  <si>
    <t>עלות פעילות</t>
  </si>
  <si>
    <t xml:space="preserve">עלות שליח קבוע בצרפת </t>
  </si>
  <si>
    <t>טיסה בינלאומית</t>
  </si>
  <si>
    <t>טיסות פנים</t>
  </si>
  <si>
    <t>מלון (עלות ללילה)</t>
  </si>
  <si>
    <t>אשל ליום</t>
  </si>
  <si>
    <t>מוניות</t>
  </si>
  <si>
    <t>תחבורה פנימית ליום לאירועים</t>
  </si>
  <si>
    <t>רכבות</t>
  </si>
  <si>
    <t xml:space="preserve">שכר </t>
  </si>
  <si>
    <t>כולל פעילויות חו"ל ופעילויות הכנה בארץ</t>
  </si>
  <si>
    <t>השליח יבקר בן היתר בערים: קרטיי, סרסל, ליל, ננסי, רואן ועוד.</t>
  </si>
  <si>
    <t>עלות השכר שתמומן ע"י המשרד, תהיה על זמנו בחו"ל בלבד. וגם זה לפי 85% משרד ו - 15% אופק ישראלי.</t>
  </si>
  <si>
    <t>סה"כ עלות (צפי) שנתית בניכוי 15% כ"א</t>
  </si>
  <si>
    <t>רכז ארצי</t>
  </si>
  <si>
    <t>מזכירה במשרה חלקית</t>
  </si>
  <si>
    <t>שכר</t>
  </si>
  <si>
    <t>משרד + הוצאות נלוות: הדפסות וצילומים, טלפונים, הוצאות פגישות (נסיעות ועיבוד) וכיו"ב</t>
  </si>
  <si>
    <t>פרסום ארצי ומקומי</t>
  </si>
  <si>
    <t xml:space="preserve"> כרטיסי טיסה בהנחת סבבים שלשבועיים. בסבבים אחרים עלות בהתאם) - סבב - דובר יחיד/זוג - בהתאם לצרכיה שטח</t>
  </si>
  <si>
    <t>שכר + אש"ל - 25 מסבירים X  14 יום לפי 175$ ליום</t>
  </si>
  <si>
    <t>הוצאות לינה 25 מסבירים X 13 180$ ליום</t>
  </si>
  <si>
    <t>הוצאות נסיעה למסבירים בערים ובפרובינציה (גם רכבות) 25 מסבירים X 14 יום, לפי ממוצע 75$ ליום</t>
  </si>
  <si>
    <t>הוצאות תפעול וביצוע אירועים בקהילות (שכירות, תקשורת, השתתפות, אודיו/וידאו, כיבוד וכיו"ב) (לא מתקיים בכל מפגש ולכן הערכת 50 אירועים )</t>
  </si>
  <si>
    <t>מפגש הסברה ראשוני</t>
  </si>
  <si>
    <t>המסבירנים - מרצים מישראל, בעלי מומחיות בתחומי תוכן מגוונים בנושא הקליטה והחיים בישראל</t>
  </si>
  <si>
    <t>*יחידות</t>
  </si>
  <si>
    <t>קהלי יעד: אוכלוסיה כללית, גיל שלישי, צעירים</t>
  </si>
  <si>
    <t>פעילות הכנה</t>
  </si>
  <si>
    <t>פרסום ופעילויות  לגיבוש הקבוצות  1500€</t>
  </si>
  <si>
    <t>פעילויות שוטפות: מפגשי אוריינטציה, הרצאות בנושאי עלייה מקצועיים, חומרים חינוכיים ועזרים לפעולות הכנה. נסיעות והוצאות מרצים</t>
  </si>
  <si>
    <t>פעילויות הכנה יחודיות :עלות דובר מומחה מישראל (טיסה 800$+לינה 180$ ואש"ל 90$)</t>
  </si>
  <si>
    <t>שכר מרצים</t>
  </si>
  <si>
    <t>פעילות סוף שבוע (35 איש בכל פעילות)</t>
  </si>
  <si>
    <t>לינה (חדר זוגי ללילה) 160 אירו - 17 חדרים</t>
  </si>
  <si>
    <t xml:space="preserve">צוות חינוכי- טיסות 2 אנשי תוכן מהארץ 800$ לאדם </t>
  </si>
  <si>
    <t>צוות חינוכי  מהארץ - אשל ו90$ ליום +לינה 160 אירו ללילה</t>
  </si>
  <si>
    <t xml:space="preserve"> 350$ ליום * 3 ימים   =עלות מעביד למרצים הנחה1 מתוך 2 ידרשו עלות מעביד </t>
  </si>
  <si>
    <t xml:space="preserve"> סיורי גישוש לטרום פותחי תיק העליה</t>
  </si>
  <si>
    <t>12/2016-12/2016</t>
  </si>
  <si>
    <t>קבוצות מצרפת ובלגיה (30 משתתפים בקבוצה)</t>
  </si>
  <si>
    <t>פעילויות הכנה לסיור: בקהילות היעד (2 מפגשים לקבוצה )</t>
  </si>
  <si>
    <t>מרצים ומומחי תוכן</t>
  </si>
  <si>
    <t>עלויות הגעה + לינה למשתתפים: 800$ טיסה + לינה 150$ * ארבעה לילות = 1,400$ במימון משתתפים</t>
  </si>
  <si>
    <t xml:space="preserve"> משתתפים 30 בכל סיור כפוף לקריטריונים שיוצעוו ע"י אופק ישראלי ואושרו ע"י המשרד</t>
  </si>
  <si>
    <t xml:space="preserve"> (4) עובדים ישראלים במשלחת  </t>
  </si>
  <si>
    <t>חניה, מחשוב, טלפונים , ביטוח וכד</t>
  </si>
  <si>
    <t>שכירות הרחבת המשרדים</t>
  </si>
  <si>
    <t>מאחר ומדובר בתוספת עובדים ישראלים במשלחת שתחול מיולי 2016, ייבדק הנושא שוב 05.2015 וככל שיידרש ויוכח צורך, יוגדל היכף כח אדם על חשבון תקציב בלתי צפוי.</t>
  </si>
  <si>
    <t xml:space="preserve">  (9)   רכזי מתנדבים</t>
  </si>
  <si>
    <t xml:space="preserve"> עלות מעביד </t>
  </si>
  <si>
    <t xml:space="preserve">פעילות מתנדבים </t>
  </si>
  <si>
    <t xml:space="preserve"> פר עובד - חניה, מחשוב, תקשורת נסיעות וכד</t>
  </si>
  <si>
    <t xml:space="preserve"> (11) רכז הפרויקט</t>
  </si>
  <si>
    <t>עלות מעביד</t>
  </si>
  <si>
    <t xml:space="preserve"> חניה, מחשוב, תקשורת  וכד</t>
  </si>
  <si>
    <t>(12) שליחי עידוד עלייה לאוכלוסיות צעירות</t>
  </si>
  <si>
    <t>מחשוב, טלפונים , ביטוח וכד</t>
  </si>
  <si>
    <t>שכירות</t>
  </si>
  <si>
    <t xml:space="preserve">נסיעות פנימיות </t>
  </si>
  <si>
    <t>טיסות / נסיעות לפריפריה</t>
  </si>
  <si>
    <t xml:space="preserve">(13) יועצים תעסוקתיים והכרת תארים </t>
  </si>
  <si>
    <t>שכר יועצים בפריס</t>
  </si>
  <si>
    <t>פעם בשנה טיסה לארץ</t>
  </si>
  <si>
    <t>פעמם בשנה אש"ל לינה ונסיעות ל6 ימים (5 ימי עבודה +1 טיסות)</t>
  </si>
  <si>
    <t>מדובר בכ"א מנוסה בעלויות גבוהות יותר, העובדים צפויים להיות עובדים מקומיים ונדרש לשלם את כל העלויות הסוציאליות הנדרשות לפי הרגולציה המקומית, לפי הערכת עלויות מקומית בצרפת ע"פ עובדים דומים.</t>
  </si>
  <si>
    <t xml:space="preserve"> (14) קורסים להתאמה מקצועית </t>
  </si>
  <si>
    <t xml:space="preserve">סה"כ עלות (צפי) שנתית </t>
  </si>
  <si>
    <t>עלות קורסים בפריס</t>
  </si>
  <si>
    <t>טיסה, אש"ל, לינה ונסיעות  של המרצים לפריס - 2 מרצים לקורס</t>
  </si>
  <si>
    <t>תשתית לכיתת לימוד במסגרת הקהילה</t>
  </si>
  <si>
    <t xml:space="preserve"> (5)ערבי מידע</t>
  </si>
  <si>
    <t>5 נסיעות לחודש 200€</t>
  </si>
  <si>
    <t xml:space="preserve"> לינה בשני יעדים (24 לילות) 200€</t>
  </si>
  <si>
    <t>150 אירו*2 שעות *3 מאבטחים</t>
  </si>
  <si>
    <t>התחייבות ל20 ערבי מידע  בפריפריה</t>
  </si>
  <si>
    <t xml:space="preserve"> (1) שווק ופרסום חומרים עידוד עלייה</t>
  </si>
  <si>
    <t xml:space="preserve">הפקת פליירים לירידים ואירועים </t>
  </si>
  <si>
    <t xml:space="preserve"> פרסום אירועם ברדיו 2,000$</t>
  </si>
  <si>
    <t>פרסום אירועים בעיתונות 3,500$</t>
  </si>
  <si>
    <t>פרסום ברשת וברשתות חברתיות 2,000$</t>
  </si>
  <si>
    <t>קמפיין במייל</t>
  </si>
  <si>
    <t>WEBINARS (6)</t>
  </si>
  <si>
    <t xml:space="preserve">תשתית והרצאה </t>
  </si>
  <si>
    <t xml:space="preserve">הפצת קמפיין במיילים עם הסבר </t>
  </si>
  <si>
    <t>פעילות ציונית בקהילה, עידוד עלייה, כנסים ואירועים לא כולל כ"א</t>
  </si>
  <si>
    <t>סה"כ לתוכנית צרפת</t>
  </si>
  <si>
    <t>ירידי עידוד עלייה -  גשר ישראלי</t>
  </si>
  <si>
    <t>מרכיבים</t>
  </si>
  <si>
    <t>מספר מפגשים בערים בנוניות בפריפריה  (2 שליחים).</t>
  </si>
  <si>
    <t>מספר משתתפים ביחידה אחת</t>
  </si>
  <si>
    <t>מספר צוותים מישראל</t>
  </si>
  <si>
    <t>שליחים מישראל (טיסה 700$, אש"ל 60$*6, מלון 120*6, תחבורה בין ערים 500). שני שליחים לכל יחידה.</t>
  </si>
  <si>
    <t xml:space="preserve">החזר הוצאות נסיעה למשתתפים (כ 12 איש 30$ באוקרינה ו 50$ ברוסיה) </t>
  </si>
  <si>
    <t xml:space="preserve">צוות הקמה ותפעול </t>
  </si>
  <si>
    <t>שווק</t>
  </si>
  <si>
    <t>מיועד לערים בנוניות וקטנות.</t>
  </si>
  <si>
    <t>שליחים מישראל  שני שליחים לכל יחידה.  - ככל שיידרש עובדי המשרד לא יהיו ע"ח אופק ישראלי</t>
  </si>
  <si>
    <t>החזר הוצאות נסיעה למשתתפים  בתנאי של רישום בכניסה ובסיום היריד -  תשלום חד פעמי לאדם בכל התוכניות.</t>
  </si>
  <si>
    <t>צוות הקמה ותפעול רק במקומות שאין צוות מקומי של הסוכנות.. תמורת חוזי העסקה - בתנאי שאינם עובדי הנציגות</t>
  </si>
  <si>
    <t>.</t>
  </si>
  <si>
    <t>ירידי עידוד עלייה - כללי</t>
  </si>
  <si>
    <t>מספר ירידים</t>
  </si>
  <si>
    <t>במצב הנוכחי לא קיים תקציב לירידים</t>
  </si>
  <si>
    <t>יחסוך בעלויות של שליחים לאחד שליחים</t>
  </si>
  <si>
    <t>מספר משתתפים ביריד</t>
  </si>
  <si>
    <t xml:space="preserve">שכירת מתקן ועיצוב </t>
  </si>
  <si>
    <t xml:space="preserve">החזר הוצאות נסיעה למשתתפים (כ 50 איש /30$/50$ לי"ח) </t>
  </si>
  <si>
    <t xml:space="preserve">צוות הקמה ותפעול של כל יריד - 20 איש </t>
  </si>
  <si>
    <t xml:space="preserve">נציגים מישראל. 10 נציגים לכל אירוע. (טיסה -650-700$, אש"ל $60 *3, לינה 150$*3, תחבורה 150-170$) </t>
  </si>
  <si>
    <t>כיבוד</t>
  </si>
  <si>
    <t>אבטחה</t>
  </si>
  <si>
    <t xml:space="preserve"> סה"כ</t>
  </si>
  <si>
    <t>ירידי עידוד עלייה בנושא תעסוקה</t>
  </si>
  <si>
    <t>מספר ירידים מקצועים ( צוות המבקרים בשלושה ערים)</t>
  </si>
  <si>
    <t>מספר משתתפים בכל יריד</t>
  </si>
  <si>
    <t xml:space="preserve">החזר הוצאות נסיעה למשתתפים (כ 20 איש ) </t>
  </si>
  <si>
    <t xml:space="preserve">צוות הקמה ותפעול - 5 איש </t>
  </si>
  <si>
    <t>נציגים מישראל. 7 נציגים לכל אירוע. (טיסה 700$, אש"ל $60 *6, לינה 120$*6, תחבורה 280$)</t>
  </si>
  <si>
    <t xml:space="preserve">אבטחה </t>
  </si>
  <si>
    <t>מרכזי הכנה לעלייה (אולפנים) כללי</t>
  </si>
  <si>
    <t>מספר כיתות (185 שעות לימוד)</t>
  </si>
  <si>
    <t>מספר תלמידים בכיתה</t>
  </si>
  <si>
    <t xml:space="preserve"> מספר שעות לימוד במהלך 11 חודשים</t>
  </si>
  <si>
    <t xml:space="preserve"> שכר מורים (פעמיים בשבוע *2 שעות *4.2 שבועות *11 חודשים *10.5  $ לשעה עלות מעביד ) / יחידה = כיתה</t>
  </si>
  <si>
    <t xml:space="preserve">הבדלי העלות נובע מהשוני בן במדינות </t>
  </si>
  <si>
    <t>חומרי לימוד (ספרי לימוד, תרגילים אקטרוניים, מבחני רמה, אודיו)</t>
  </si>
  <si>
    <t>נרכשו ונמצאים במלאי</t>
  </si>
  <si>
    <t xml:space="preserve">הכנסה ממשתתפים </t>
  </si>
  <si>
    <t xml:space="preserve"> שכירת כיתות. נדרש תשלום שכ"ד עבור 50% מן הכיתות</t>
  </si>
  <si>
    <t>בטחון</t>
  </si>
  <si>
    <t>הפעילות הקיימת הינה בתשתיות יקרות הדורשות אבטחה, הרחבת התוכנית תיעשה בשיתוף עם הקהילות תוך השתתפות בהוצאות אבטחה ותשתיות - דמי שימוש</t>
  </si>
  <si>
    <t>מאחר ונתיב מקיימת אולפני עברית לאוכלוסיה רחבה. אולפנים אלו שמתווספים בתוכנית (כולל האולפנים הקיימים של הסוכנות) - מיועדים לאוכלוסיה מצומצמת יותר של מועמדי עלייה שהם במעמד של "פותחי תיקי עלייה"                                                                                                                                                                           באולפנים ילמדו רק תלמידים שלא למדו לפני כן באולפני נתיב - באחריות מבצע התוכנית לוודא אל מול כל מועמד שלא למד בנתיב ומסכים שיבדקו זאת מול נתיב, ועל החברה לוודא עם נציגי נתיב שאכן לא למדו אצלם</t>
  </si>
  <si>
    <t>יבוצע תאום מול משרד החינוך בנושא תוכנית הלימודים - דווח ביצוע לא יאוחר מתאריך: 28/02/2016</t>
  </si>
  <si>
    <t>גובה ההשתתפות העצמית יהיה זהה בכל מקום באופן דיפרנציאלי לפי העלויות המקומיות - סכום המופיע בטבלה הוא ממוצע בלבד.</t>
  </si>
  <si>
    <t>מרכזי הכנה לעלייה למועמדי עלייה - אולפנים אינטנסיביים</t>
  </si>
  <si>
    <t xml:space="preserve">מספר כיתות -   </t>
  </si>
  <si>
    <t xml:space="preserve">מספר שעות לימוד במהלך 5 חודשים </t>
  </si>
  <si>
    <t xml:space="preserve"> שכר מורים (פעמיים בשבוע *3 שעות *4.2 שבועות *5 חודשים *10.5  $ לשעה עלות מעביד ) / יחידה = קורס של 5 חודשים</t>
  </si>
  <si>
    <t>נסיעות של מורים לערים קטנות</t>
  </si>
  <si>
    <t xml:space="preserve"> שכירת כיתות. נדרש תשלום שכ"ד עבור 30% מן הכיתות.</t>
  </si>
  <si>
    <t>מאחר ונתיב מקיימת אולפני עברית לאוכלוסיה רחבה. אולפנים אלו שמתווסים בתוכנית (כולל האולפנים הקיימים של הסוכנות) - מיועדים לאוכלוסיה מצומצמת יותר של מועמדי עלייה שהם במעמד של "פותחי תיקי עלייה"                                                                                                                                                                           באולפנים ילמדו רק תלמידים שלא למדו לפני כן באולפני נתיב - באחריות מבצע התוכנית לוודא אל מול כל מועמד שלא למד בנתיב ומסכים שיבדקו זאת מול נתיב, ועל החברה לוודא עם נציגי נתיב שאכן לא למדו אצלם</t>
  </si>
  <si>
    <t xml:space="preserve">מרכזי הכנה לעלייה (אולפנים ) לרכזי עלייה </t>
  </si>
  <si>
    <t>מספר כיתות</t>
  </si>
  <si>
    <t xml:space="preserve"> שכר מורים (פעמיים בשבוע *3 שעות *4.2 שבועות *11 חודשים *10.5  $ לשעה עלות מעביד ) / יחידה = כיתה</t>
  </si>
  <si>
    <t>מספר סמינרים</t>
  </si>
  <si>
    <t>מספר משתתפים בכל יחידה</t>
  </si>
  <si>
    <t>לינה וכלכלה 2 לילות, 3 ימים (2.5 לינה וכלכלה)</t>
  </si>
  <si>
    <t xml:space="preserve">החזר הוצאות נסיעה למשתתפים (כ 35-25 איש ברוסיה 50$ ובאוקראינה 30$) </t>
  </si>
  <si>
    <t>הכנסות ממשתתפים כ  250 רובל ברוסיה וכ 80 גריבנה באוקראיה -  נתון להחלטת ועדת המלגות המקומית</t>
  </si>
  <si>
    <t>שכר צוות מקומי להקמה ותפעול -7 איש, כולל 2 אנשי אבטחה</t>
  </si>
  <si>
    <t>נסיעות של מרצים מישראל 2 מרצים לסמינר. עלות - 600$- 700$ טיסה ,60$*4 אש"ל ,לינה 100$ *2, הסעות + ויזה 200 $</t>
  </si>
  <si>
    <t>שכר מרצים מישראל. רק מרצה אחד בשכר מתוך 2</t>
  </si>
  <si>
    <t>החזר הוצאות נסיעה למשתתפים (בתנאי של רישום בכניסה ובסיום הסמינר -  תשלום חד פעמי לאדם. - תוכנית אחת למשתתף</t>
  </si>
  <si>
    <t>סמינרי עידוד עלייה  לבוגרי  חוויות</t>
  </si>
  <si>
    <t>מספר משתתפים בסמינר ברוסיה: 100, באוראינה 90</t>
  </si>
  <si>
    <t>לינה וכלכלה 2 לילות, 3 ימים ( רוסיה 198 ₪ ללילה ואוקראינה 190ש"ח ללילה)</t>
  </si>
  <si>
    <t>תחבורה (אוטובוסים ותחבורה לצורך ארגון סמינר)</t>
  </si>
  <si>
    <t>החזר הוצאות נסיעה למשתתפים (כ 25-35 איש ברוסיה 50$ ובאוקראינה 30$)</t>
  </si>
  <si>
    <t>הרצאות / סדנאות / יועצי תוכן</t>
  </si>
  <si>
    <t>אביזרים מתדיים</t>
  </si>
  <si>
    <t>צוות הקמה ותפעול (7 איש )</t>
  </si>
  <si>
    <t>נסיעות של מרצים מישראל -שניים לסמינר. עלות - 600$- 700$  טיסה ,60$*4 אש"ל ,לינה 100$ *2, הסעות + ויזה 200 $</t>
  </si>
  <si>
    <t>ימי עיון חד יומיים ל 50 איש כל אחד. שלושה ברוסיה ושלושה באוקראינה</t>
  </si>
  <si>
    <t>ימי עיון  - שכירות</t>
  </si>
  <si>
    <t>ימי עיון - תחבורה</t>
  </si>
  <si>
    <t>ימי עיון - כיבוד</t>
  </si>
  <si>
    <t>ימי עיון - מדריכים</t>
  </si>
  <si>
    <t>ימי עיון - מרצים</t>
  </si>
  <si>
    <t>סה"כ עלות ימי עיון</t>
  </si>
  <si>
    <t xml:space="preserve"> </t>
  </si>
  <si>
    <t>צוות הקמה ותפעול - רק במקומות שאין נציגות של הסוכנות</t>
  </si>
  <si>
    <t>החזר הוצאות נסיעה למשתתפים-  בתנאי של רישום בכניסה ובסיום היריד -  תשלום חד פעמי לאדם בכל התוכניות.</t>
  </si>
  <si>
    <t>תינתן עדיפות לבוגרי תוכניות קצרות כדוגמת תגלית</t>
  </si>
  <si>
    <t>השווק יעשה רק בחו"ל</t>
  </si>
  <si>
    <t>רכזי שווק  תוכנית עידוד עלייה בקהילות</t>
  </si>
  <si>
    <t>מספר רכזי פעילות עידוד עלייה בקהילות</t>
  </si>
  <si>
    <t>בניית השכר תבוצע עפ"י היקף שעות שיושקע בפועל אל מול שווק תוכניות עידוד עלייה בקהילה, והסכום המופיע הוא ממוצע של כ 20 שעות חודשיות לפי 6$ לשעה</t>
  </si>
  <si>
    <t>שליח עידוד עלייה נייד/ זמני</t>
  </si>
  <si>
    <t xml:space="preserve"> שליחי עידוד עליה ניידים קיימים - נסיעות </t>
  </si>
  <si>
    <t>נסיעות של  שליחי עידוד עלייה ניידים קיימיים שיש לתגבר את ימי שליחות : יקטרינבורג, חברובסק, סמרה. 6 נסיעות תגבור של חלץ ו 4 נסיעות במימון סוכנות.</t>
  </si>
  <si>
    <t>נסיעות של שליח עידוד עלייה  ניידים קיימים. תגבור ב 6 טיסות לשליח בנוסף ל 4 טיסות במימון של הסוכנות. כל שליחות 12 יום / טיסות 800$ , אש"ל 60$*12, מלון 120$*12,  תחבורה, ביטוח ושונות 400$ ל12 ימים</t>
  </si>
  <si>
    <t>נסיעות של שליח עידוד עלייה נייד קיים לנובוסיבירסק ואירקוטסק. מימון מלא של הסוככנות. שליח אחד 10 נסיעות בשנה  לעשרה ימים</t>
  </si>
  <si>
    <t>שכר של שליח עידוד עלייה  נייד  (חלקיות משרה בתפקיד שליח נייד- 100%) בחרקוב</t>
  </si>
  <si>
    <t xml:space="preserve">נסיעות שליח עידוד עלייה  נייד בחרקוב - שליחות קצרה (12 יום כל שליחות) / טיסות 600$ , אש"ל 60$*12, מלון 100$*12,  תחבורה, ביטוח ושונות 400$ </t>
  </si>
  <si>
    <t xml:space="preserve"> שכר של שליח עידוד עלייה  ניידים קיימים   (חלקיות משרה בתפקיד שליח נייד- 50%) </t>
  </si>
  <si>
    <t>שליחי עידוד עליה קבועים ( זמניים) - שכר, נלוות ונסעות.</t>
  </si>
  <si>
    <t>מספר שליחי עידוד עלייה זמני  חדשים לשנה קייב + אודסה - קישינב. מצב משפחתי נשוי</t>
  </si>
  <si>
    <t>ראש נציגות בקייב. נמצא בשליחות בגפו</t>
  </si>
  <si>
    <t>שכר שליח עידוד עלייה  קבוע לשנה (קייב + אודסה - קישינב)</t>
  </si>
  <si>
    <t>טיסות מישראל (שליח ובן /בת זוג). הגעה, עזיבה + 2 חופשות בישראל</t>
  </si>
  <si>
    <t>יצא ב 2015, לא חוזר ב 2016</t>
  </si>
  <si>
    <t>תנאים סוציאליים</t>
  </si>
  <si>
    <t>נסיעות שליח עידוד  עלייה קבוע לשנה - נסיעות באיזור. שליח בקייב במימון אופק. שליח באודסה במימון סוכנות. נסיעות במהלך 10 חודשים בשנה. בכל חודש מתוך 10: אש"ל 60$*7, הוצאות נסיעה 200*3 (3 נסיעות באיזור בחודש), מלון 100$*3 (חלק מן הנסיעות חזרה באותו יום)</t>
  </si>
  <si>
    <t>שליח עידוד עלייה  נייד חדש - שכר ונסיעות</t>
  </si>
  <si>
    <t>ראש נציגות ושליח נייד</t>
  </si>
  <si>
    <t>שכר שליח עידוד עלייה נייד ל סט' פטרבורג שכר</t>
  </si>
  <si>
    <t>נסיעות של שליח עידוד עלייה נייד לסט' פטרבורג. כל שליחות 12 יום / טיסות 700$ , אש"ל 60$*12, מלון 150$*12,  תחבורה, ביטוח ושונות 400$</t>
  </si>
  <si>
    <t>תנאי השירות והנלווים הינם בהתאם לוועדת השליחים בסוכנות ולא יותר מסכומים אלו</t>
  </si>
  <si>
    <t>רכזי פעילות  בנציגויות</t>
  </si>
  <si>
    <t>רכזי עלייה מקומיים</t>
  </si>
  <si>
    <t>שכ"ד, תקשורת , חניה, מחשוב,  וכד'</t>
  </si>
  <si>
    <t>תקציב 2016 של הסוכנות כולל ליבה ומימון של תורמים</t>
  </si>
  <si>
    <t xml:space="preserve"> ( עמ"י)יועצי תעסוקה </t>
  </si>
  <si>
    <t>הכנה לשוק העבודה בישראל</t>
  </si>
  <si>
    <t>מספר נציגויות בהן מתקיים הקורס</t>
  </si>
  <si>
    <t>מספר מחזורים בכל נציגות בממצוצע</t>
  </si>
  <si>
    <t>מספר מפגשים בכל מחזור</t>
  </si>
  <si>
    <t>מספר קורסים</t>
  </si>
  <si>
    <t>מספר משתתפים בקורס</t>
  </si>
  <si>
    <t>מרצים מישראל - טיסה 650$-700$, אש"ל 60$*3, מלון 120$*3, תחבורה 300$</t>
  </si>
  <si>
    <t>שכר מרצים מהארץ בהנחה ששניים משלושה מקבל שכר</t>
  </si>
  <si>
    <t>שכר המרצים מתייחס לעלות יומיים כ 12 שעות עבודה ליומיים בעלות של 314 ₪ לשעה.</t>
  </si>
  <si>
    <t>הכשרת שליחים וראשי נציגויות (כולל חמ"ע) לרכזי פעילות ויועצי תעסוקה / שליחי עליה</t>
  </si>
  <si>
    <t>מצב  ללא אופק ישראלי - קורס שליחים וראשי נציגויות</t>
  </si>
  <si>
    <t>סמינר בישראל לרכזי פעילות ויועצי תעסוקה</t>
  </si>
  <si>
    <t>מספר משתתפים בכל סמינר</t>
  </si>
  <si>
    <t>לינה וכלכלה בישראל - 4 לילות ו 4 ימים</t>
  </si>
  <si>
    <t>תחבורה</t>
  </si>
  <si>
    <t>כרטיסי הגעה לשיראל 700$</t>
  </si>
  <si>
    <t>בהכשרה ללא אופק יכללו תכנים של עידוד עליה ושל התוכנית.</t>
  </si>
  <si>
    <t>מתוך 30 המשתתפים תחילה יכללו העובדים החדשים של התוכנית.</t>
  </si>
  <si>
    <t xml:space="preserve"> בשטח / ישראלהכשרה של צוותי עלייה (עמ"ז)</t>
  </si>
  <si>
    <t>סמירנים ברוסיה</t>
  </si>
  <si>
    <t>סה"כ משתתפים</t>
  </si>
  <si>
    <t>אביזרים מתודיים</t>
  </si>
  <si>
    <t>נסיעות צוות מישראל - 3 לסמינר. עלות - 600$-700$ טיסה ,60$*3 אש"ל ,לינה 120$ *4, הסעות + ויזה 260 $</t>
  </si>
  <si>
    <t>סה"כ סמירנים ברוסיה</t>
  </si>
  <si>
    <t>סמינר לרכזים מכלל חמ"ע בישראל</t>
  </si>
  <si>
    <t>מספר משתתפים בסמינר</t>
  </si>
  <si>
    <t xml:space="preserve">לינה וכלכלה בישראל - 6 לילות </t>
  </si>
  <si>
    <t>כרטיסי הגעה לשיראל 600$</t>
  </si>
  <si>
    <t>סה"כ סמירנים בישראל</t>
  </si>
  <si>
    <t>סמינר בארץ למשתתפים שלא ביקרו לפני כן בארץ בלבד</t>
  </si>
  <si>
    <t>סמינרים חד יומיים בישראל</t>
  </si>
  <si>
    <t xml:space="preserve">מספר משתתפים </t>
  </si>
  <si>
    <t>מרצים</t>
  </si>
  <si>
    <t>סמינרים בישראל עבור מדריכים</t>
  </si>
  <si>
    <t>מספר משתתפים בכל סמינר (44 מדריכים ו6 אנשי צוות)</t>
  </si>
  <si>
    <t>לינה וכלכלה בישראל 2.5 ימים.</t>
  </si>
  <si>
    <t>צוות פדגוגי / הקמה ותפעול*</t>
  </si>
  <si>
    <t xml:space="preserve">מדרכים 44 + 6 אנשי צוות. סה"כ 15 מוקדי מחנות. </t>
  </si>
  <si>
    <t>צוות הקמה ותפעול רק במקומות שאין צוות מקומי של הסוכנות.</t>
  </si>
  <si>
    <t>מחנות - סה"כ 5 ימי מחנה (3 במימון סוכנות ו 2 במימון אופק ישראלי)</t>
  </si>
  <si>
    <t>מספר משתתפים במחנה</t>
  </si>
  <si>
    <t>לינה וכלכלה 2 לילות</t>
  </si>
  <si>
    <t>החזר הוצאות נסיעה למשתתפים (כ 15 איש 70$)</t>
  </si>
  <si>
    <t>צוות פדגוגי, הקמה ותפעול (8 איש)</t>
  </si>
  <si>
    <t>נסיעות של דריכיםם מישראל - שני מרצים למחנה. עלות - 600$ טיסה ,60$*7 אש"ל ,לינה 100$ *2, הסעות + ויזה 260 $</t>
  </si>
  <si>
    <t>שכר מרצים מישראל</t>
  </si>
  <si>
    <t xml:space="preserve">הכנסות  משתתפים </t>
  </si>
  <si>
    <t xml:space="preserve">מדריכים ישראלים הם נדבך מאוד חשוב במחנות סטודנטים בדגש על עלייה. מדריכים ישראלים עוברים הכשרה אינטנסיבית ומקצועית בנושאי עלייה, קליטה, תכניות וחיים בישראל ומעבירים תוכן זה למשתתפי המחנה. הם מהווים את העוגן התכני של יומיים המוקדשים לעלייה והגורם שמעביר את כל המידע על נושאים אלה. </t>
  </si>
  <si>
    <t xml:space="preserve"> פרסום אירועם ברדיו </t>
  </si>
  <si>
    <t xml:space="preserve">פרסום אירועים בעיתונות </t>
  </si>
  <si>
    <t xml:space="preserve">פרסום ברשת וברשתות חברתיות </t>
  </si>
  <si>
    <t>פרסום ארועים בשלטי חוץ</t>
  </si>
  <si>
    <t xml:space="preserve"> התבצע ע"י הגורם המפעיל לאחר שבוצע תיאום מראש עם החברה והמשרד.</t>
  </si>
  <si>
    <t>מרכזי הכנה לעלייה - אולפנים</t>
  </si>
  <si>
    <t>12/2015-31/12/2016</t>
  </si>
  <si>
    <t xml:space="preserve">השתלמויות מורים במהלך השנה: </t>
  </si>
  <si>
    <t>החזר נסיעות ל 10 מורים</t>
  </si>
  <si>
    <t>ארוחות וכיבוד ל 10 מורים ( $10 א.בוקר, $30 א.צהריים, $10 כיבוד)</t>
  </si>
  <si>
    <t>חומרי עזר</t>
  </si>
  <si>
    <t>טיסה 800$</t>
  </si>
  <si>
    <t>אש"ל+לינה (6 ימים, 5 לילות) 90$ אשל, 180$ לינה ו $250 נסיעות</t>
  </si>
  <si>
    <t>הערות: 15 תלמידים בכל כיתה מינימום 10 תלמידים בכיתה</t>
  </si>
  <si>
    <t>שליח+רכז</t>
  </si>
  <si>
    <t>שכר רכז ארצי/ מנהל פדגוגי 60% משרה</t>
  </si>
  <si>
    <t>הוצאות מנהליות (שכ"ד, מחשוב, תקשורת, צרכי משרד וכיו"ב) 60 %</t>
  </si>
  <si>
    <t>הערות: מרכז את כל הפעילויות - מרכזי הכנה (חלקיות משרה ע"פ מפתח 1:25 + לוגיסטיקה של לך לך</t>
  </si>
  <si>
    <t>12/2015-11/2016</t>
  </si>
  <si>
    <t xml:space="preserve">  טיסה (כולל פנימיות ומעברים) 750$</t>
  </si>
  <si>
    <t>(אש"ל + שכר 200$+לינה 180$ *  +ממוצע נסיעות ליום  50 $ )* 8 ימים</t>
  </si>
  <si>
    <t xml:space="preserve">השקעות הצ"ע </t>
  </si>
  <si>
    <t>פעילות ציונית בקהילה, עידוד עלייה, כנסים ואירועים,</t>
  </si>
  <si>
    <t xml:space="preserve">ירידי עידוד עלייה ותעסוקה </t>
  </si>
  <si>
    <t>12 נוסעים * 1 יריד או 2 ירידים של 6 נוסעים</t>
  </si>
  <si>
    <t xml:space="preserve"> טיסות</t>
  </si>
  <si>
    <t xml:space="preserve">אש"ל 60$*7 ימים +לינה 180$ * 7 ימים + העברות </t>
  </si>
  <si>
    <t xml:space="preserve">עלות מעביד למקצועיים 350$ ליום </t>
  </si>
  <si>
    <t>פרסום בעיתונות וברדיו</t>
  </si>
  <si>
    <t>2 ירידים גדולים שבהם ישתתפו 12 אנשי צוות , ניתן יהיה לפצל את היריד.</t>
  </si>
  <si>
    <t>עלויות  האשל לפי המקובל במוסדות הלאומיים</t>
  </si>
  <si>
    <t>*במידה ובירידים יהיו גופים פרטיים נדאג להפרדה ברורה בין הדוכנים לבין היריד  .</t>
  </si>
  <si>
    <t xml:space="preserve">השתלמות מורים: </t>
  </si>
  <si>
    <t>החזר נסיעות ל 8 מורים 20$</t>
  </si>
  <si>
    <t>ארוחות וכיבוד ל 8 מורים ( $10 א.בוקר, $25 א.צהריים, $8 כיבוד)</t>
  </si>
  <si>
    <t>1 מורים</t>
  </si>
  <si>
    <t>אש"ל+לינה (6 ימים, 5 לילות) 60$ אשל, 180$ לינה ו $250 נסיעות</t>
  </si>
  <si>
    <t>שכר מרצים לצוות ההכשרה:מרצה בכיר * 45 שעות</t>
  </si>
  <si>
    <t>15 תלמידים בכל כיתה מינימום 10 תלמידים בכיתה</t>
  </si>
  <si>
    <t xml:space="preserve">רכז ארצי/ </t>
  </si>
  <si>
    <t>מזכירה</t>
  </si>
  <si>
    <t>שכר רכז - 60% משרה</t>
  </si>
  <si>
    <t>הוצאות מנהליות (שכ"ד, מחשוב, תקשורת, צרכי משרד וכיו"ב) -  60% משרה</t>
  </si>
  <si>
    <t xml:space="preserve"> תוכנית לך לך</t>
  </si>
  <si>
    <t>חמישה דוברים בשנה כל נסיעה ל 10 ימים</t>
  </si>
  <si>
    <t xml:space="preserve">  טיסה (כולל פנימיות)</t>
  </si>
  <si>
    <t>(אש"ל + שכר 200$+לינה 180$ *  +ממוצע נסיעות ביום  50 $ )* 10 ימים</t>
  </si>
  <si>
    <t>פרסום</t>
  </si>
  <si>
    <t>שכר רק על העבודה בחו"ל ולא עבור עובד קיים של החברה, ולא של המוסדות הלאומיים.</t>
  </si>
  <si>
    <t xml:space="preserve"> (עלות מעביד(משרה מלאה</t>
  </si>
  <si>
    <t>תקשורת , חניה, מחשוב,  וכד</t>
  </si>
  <si>
    <t>טיסות להדרכות והכשרות בארץ (2200+60*7+180*7+20*7)</t>
  </si>
  <si>
    <t>קורסים מקצועיים בארץ היעד לקראת עלייה</t>
  </si>
  <si>
    <t>קורס</t>
  </si>
  <si>
    <t>טיסה לינה ואשל  טיסות   (180*14+2200+60*14+20*14)  מרצה</t>
  </si>
  <si>
    <t>הוצ עלות הקורס</t>
  </si>
  <si>
    <t>רכז עידוד עלייה זמני</t>
  </si>
  <si>
    <t>נסיעות בתפקיד</t>
  </si>
  <si>
    <t>12/2016-2/2016</t>
  </si>
  <si>
    <t xml:space="preserve"> אנשי צוות </t>
  </si>
  <si>
    <t xml:space="preserve"> **  לינה וכלכלה </t>
  </si>
  <si>
    <t xml:space="preserve"> אנשי צוות מישראל </t>
  </si>
  <si>
    <t xml:space="preserve">אש"ל 60$*7 ימים +לינה 180$ * 5 ימים + העברות </t>
  </si>
  <si>
    <t xml:space="preserve">  לילה שני ע"ח המשתתפים בתשלום ישירות למלון</t>
  </si>
  <si>
    <t xml:space="preserve">  עמ"י עלייה</t>
  </si>
  <si>
    <t>01/2015-12/2016</t>
  </si>
  <si>
    <t xml:space="preserve"> עלות מעביד  ושכ"ד</t>
  </si>
  <si>
    <t xml:space="preserve"> פעילות ציונית בקהילה, עידוד עלייה לא כולל כח אדם.</t>
  </si>
  <si>
    <t>**  שכירות מתקן שלישי במידה ויהיה פיצול ירידים</t>
  </si>
  <si>
    <t>בניכוי הכנסות 50 %</t>
  </si>
  <si>
    <t>החזר נסיעות ל 7 מורים 20$</t>
  </si>
  <si>
    <t>ארוחות וכיבוד ל 7 מורים ( $10 א.בוקר, $25 א.צהריים, $8 כיבוד)</t>
  </si>
  <si>
    <t xml:space="preserve"> דוברים בשנה כל נסיעה ל 10 ימים</t>
  </si>
  <si>
    <t>(אש"ל + שכר **150$+לינה 180$ *  +ממוצע נסיעות ביום  50 $ )* 10 ימים</t>
  </si>
  <si>
    <t>** שכר רק למרצים חיצוניים ולא יותר משניים בכל משלחת</t>
  </si>
  <si>
    <t>שכר רק על השהות בחו"ל ולא עבור עובד קיים של החברה ולא של המוסדות הלאומיים</t>
  </si>
  <si>
    <t>מזכירה בחלקיות משרה</t>
  </si>
  <si>
    <t>שכר רכז ארצי/ מנהל פדגוגי</t>
  </si>
  <si>
    <t>טיסות להדרכות והכשרות בארץ</t>
  </si>
  <si>
    <t>מדובר בכ"א מנוסה  ומקצועי בעלויות גבוהות יותר, העובדים צפויים להיות עובדים מקומיים ונדרש לשלם את כל העלויות הסוציאליות הנדרשות לפי הרגולציה המקומית, לפי הערכת עלויות מקומית במדינה ע"פ עובדים דומים.</t>
  </si>
  <si>
    <t>הלימודים יהיו  לימודים שהסמכתם רלוונטית לישראל בלבד</t>
  </si>
  <si>
    <t xml:space="preserve">לינה וכלכלה </t>
  </si>
  <si>
    <t>07/2016-31/12/2016</t>
  </si>
  <si>
    <t>השלמת תקן בשנה קלנרית לעובד קיים</t>
  </si>
  <si>
    <t>שער הדולר</t>
  </si>
  <si>
    <t>יורו</t>
  </si>
  <si>
    <t>הכשרה עולמית למורי עברית מעודדי עלייה - ירושלים יולי 2016</t>
  </si>
  <si>
    <t>פרסום, איתור ומיון מורים להכשרה</t>
  </si>
  <si>
    <t>בכל ארצות היעד</t>
  </si>
  <si>
    <t xml:space="preserve"> כרטיסי טיסה</t>
  </si>
  <si>
    <t>סבסוד כרטיסי טיסה</t>
  </si>
  <si>
    <t>הוצאות לינה + מזון</t>
  </si>
  <si>
    <t xml:space="preserve">קורס להכשרת מורים לעברית כשפה שניה </t>
  </si>
  <si>
    <t>הכשרת מסבירים - ישראל ועלייה</t>
  </si>
  <si>
    <t>3 ימים עם תכני ישראל, ציונות ועלייה</t>
  </si>
  <si>
    <t>סה"כ עלות התכנית:</t>
  </si>
  <si>
    <t>כרטיסי טיסה</t>
  </si>
  <si>
    <t>כ"א</t>
  </si>
  <si>
    <t>שכירות מתקן</t>
  </si>
  <si>
    <t>ציוד תקשורת</t>
  </si>
  <si>
    <t>הכנסות משתתפים</t>
  </si>
  <si>
    <t>שווק ופרסום</t>
  </si>
  <si>
    <t>מלונות</t>
  </si>
  <si>
    <t>אשל</t>
  </si>
  <si>
    <t>עלןת כיתה</t>
  </si>
  <si>
    <t>חומרים חינוכיים</t>
  </si>
  <si>
    <t>חומרי עזר - פליירים</t>
  </si>
  <si>
    <t>בבל"ת</t>
  </si>
  <si>
    <t xml:space="preserve">משרדים </t>
  </si>
  <si>
    <t>הסכם מלא עד ספטמבר 2017</t>
  </si>
  <si>
    <t>סה"כ עלות (צפי)</t>
  </si>
  <si>
    <t xml:space="preserve"> טיסות 1900$</t>
  </si>
  <si>
    <t>פרסום (בעיתונות, רדיו, אינטרנט, רשתות חברתיות)</t>
  </si>
  <si>
    <t>מבקשים לקיים יריד אחד במקום 2</t>
  </si>
  <si>
    <t>תוספת (שינוי) לבקשה המקורית</t>
  </si>
  <si>
    <t>סה"כ עלות (צפי) לתקופה</t>
  </si>
  <si>
    <t>הערכת עלות שנתית בש"ח ליחידה</t>
  </si>
  <si>
    <t>עובדים במשרה מלאה</t>
  </si>
  <si>
    <t>עובדים בחצי משרה</t>
  </si>
  <si>
    <t xml:space="preserve"> עלות מעביד (1*15 + 0.5*9)</t>
  </si>
  <si>
    <t>סה"כ עלות (צפי)  85%</t>
  </si>
  <si>
    <t>משרה קיימת (15 חודש) + חצי משרה נוספת בפורטו אלגרה (9 חודש)</t>
  </si>
  <si>
    <t xml:space="preserve"> יחידה שונתה לחודשים * אחוז משרה ועלות ליחידה הועברה משנתי לחודשי</t>
  </si>
  <si>
    <t xml:space="preserve"> (15*1) עלות מעביד</t>
  </si>
  <si>
    <t>פעם בשנה טיסה לארץ ל-5 ימים (טיסה 1900$ אש"ל 30$ לינה 200$ ונסיעות 200$)</t>
  </si>
  <si>
    <t>משרה קיימת (15 חודש) //  יחידה שונתה לחודשים * אחוז משרה ועלות ליחידה הועברה משנתי לחודשי</t>
  </si>
  <si>
    <t>טיסה לינה ואשל  טיסות   (180*14+1900+60*14+20*14)  מרצה</t>
  </si>
  <si>
    <t xml:space="preserve"> WEBINARS של 3 מפגשים שעתיים</t>
  </si>
  <si>
    <t>הרצאה כולל הכנה</t>
  </si>
  <si>
    <t>טיסה 1900$</t>
  </si>
  <si>
    <t xml:space="preserve">אש"ל 60$*5 ימים +לינה 180$ * 5 ימים + העברות </t>
  </si>
  <si>
    <t xml:space="preserve">עלויות  האשל לפי המקובל במוסדות הלאומיים </t>
  </si>
  <si>
    <t>*במידה ובירידים יהיו גופים פרטיים נדאג להפרדה ברורה בין הדוכנים לבין היריד</t>
  </si>
  <si>
    <t>מבקשים להקים יריד נוסף // ייתכן ועובדים מקצועיים יסעו בהתנדבות בלי צורך לתשלום אך טרם ידוע</t>
  </si>
  <si>
    <t xml:space="preserve"> התוכנית כוללת הגעה לאורוגואי וצ'ילה בכמה ירידים</t>
  </si>
  <si>
    <t>פרסום ברשתות חברתיות ומיילינג</t>
  </si>
  <si>
    <t>פרסום בעיתונות הקהילתית (מודפס ודיגיטל)</t>
  </si>
  <si>
    <t>אש"ל 60$*7 ימים +לינה 180$ * 7 ימים + העברות 20$</t>
  </si>
  <si>
    <t>סה"כ עלות (צפי) 85%</t>
  </si>
  <si>
    <t>ייתכן ויצטרכו יותר נסיעות מרצים מהארץ בעלות המאושרת ולפי התכנית עבודה שהוגשה</t>
  </si>
  <si>
    <t xml:space="preserve">  1900$ טיסה </t>
  </si>
  <si>
    <t xml:space="preserve"> לילה שני ע"ח המשתתפים בתשלום ישירות למלון</t>
  </si>
  <si>
    <t>ירידי עלייה</t>
  </si>
  <si>
    <t>ירידים בפריס וערים גדולות נוספות</t>
  </si>
  <si>
    <t>נציגים מהארץ בכל יריד</t>
  </si>
  <si>
    <t>משתתפים בכל יריד</t>
  </si>
  <si>
    <t>מתקן ותפעול 19000$</t>
  </si>
  <si>
    <t>ירידים מחוץ לפריס</t>
  </si>
  <si>
    <t xml:space="preserve">טיסה/ נסיעה + *7 משתתפים מהארץ 1000$ </t>
  </si>
  <si>
    <t>לינה וכלכלה 140$+ + אש"ל 90$ העברות 20$ 4 ירידים *12 משתתפים  6 ימים</t>
  </si>
  <si>
    <t xml:space="preserve">ירידי  תעסוקה </t>
  </si>
  <si>
    <t xml:space="preserve">טיסה ונסיעות 1000$בינעירוניות </t>
  </si>
  <si>
    <t>לינה 150$ + אש"ל 90$ + נסעיות 20$</t>
  </si>
  <si>
    <t xml:space="preserve"> סמינר הכנה לעלייה</t>
  </si>
  <si>
    <t>סמינרי הכנה למעומדי עלייה</t>
  </si>
  <si>
    <t>לינה וכלכלה סופ"ש 130$</t>
  </si>
  <si>
    <t>3 מרצים מהארץ לכל סמינר טיסה 800$</t>
  </si>
  <si>
    <t>3 מרצים מהארץ אשל רגיל 90*1+אשל תנאי סמינר 40*2+ לינה יום אחד 140$ + לינה וכלכלה בסמינר 130$</t>
  </si>
  <si>
    <t>קיימת השתתפות עצמית של המשתתפים: לילה נוסף המשולמת ישירות המלון</t>
  </si>
  <si>
    <t>קיום 4 סמינרים  נוספים: 2 במרץ ו-2 באפריל</t>
  </si>
  <si>
    <t>סמינרי הכנה לעלייה בוגרי חוויות</t>
  </si>
  <si>
    <t>משתתפים בכל בסמינר</t>
  </si>
  <si>
    <t xml:space="preserve">עלות מעביד למקצועיים 450$ </t>
  </si>
  <si>
    <t xml:space="preserve"> עובדים ישראלים במשלחת  </t>
  </si>
  <si>
    <t xml:space="preserve"> עלות מעביד (15*7)</t>
  </si>
  <si>
    <t xml:space="preserve"> יחידה שונתה לחודשים * אחוז משרה ועלות ליחידה הועברה משנתי לחודשי // תוקצבו 7 עובדים, התקן השמיני הועבר לסעיף יועצים תעסוקתיים והכרת תארים // תוקצב ל-15 חודש</t>
  </si>
  <si>
    <t>תוקצב בטעות מצב קיים של הסוכנות באבטחה של ערבי מידע 259,200 יותר. הוספה עלות של אבטחה עבור העובדים במשרד</t>
  </si>
  <si>
    <t xml:space="preserve"> יחידה שונתה לחודשים * אחוז משרה ועלות ליחידה הועברה משנתי לחודשי // תקצוב ל-15 חודש // עלות מעביד כוללת שכר, שכ''ד , נסעיות פנימיות וביטוח</t>
  </si>
  <si>
    <t xml:space="preserve"> יועצים תעסוקתיים והכרת תארים </t>
  </si>
  <si>
    <t>פעם בשנה אש"ל לינה ונסיעות ל6 ימים (5 ימי עבודה +1 טיסות)</t>
  </si>
  <si>
    <t xml:space="preserve"> קורסים להתאמה מקצועית </t>
  </si>
  <si>
    <t>5 נסיעות לחודש 220$</t>
  </si>
  <si>
    <t xml:space="preserve"> לינה ואש''ל בשני יעדים 300$</t>
  </si>
  <si>
    <t>170$ *2 שעות *3 מאבטחים</t>
  </si>
  <si>
    <t>ערבי מידע תעסוקה</t>
  </si>
  <si>
    <t>נסיעה מהארץ ל-6 ימים (טיסה, אש''ל, מלון)</t>
  </si>
  <si>
    <t>קיום כ-70 ערבי מידע נוספים (עם צוות משרד הסוכנות בצרפת בלבד) ו-9 עברי מידע תעסוקה עם נציגים מישראל</t>
  </si>
  <si>
    <t>תוקצב בטעות מצב קיים של הסוכנות באבטחה של ערבי מידע 259,200 ביתר. הוספה עלות של אבטחה עבור העובדים במשרד</t>
  </si>
  <si>
    <t>הפקת פליירים לירידים ואירועים 1000$</t>
  </si>
  <si>
    <t>פרסום אירועים בעיתונות 3500$</t>
  </si>
  <si>
    <t>קמפיין עידוד עליה (רדיו, עיתונות כתובה, רשתות חברתיות)</t>
  </si>
  <si>
    <t xml:space="preserve">תקציב לניהול קמפיין עידוד עליה מאסיבי בכל ערוצי השיווק השונים כולל הפקת סרטוני יו טיוב, שיווק במדיות תחזוקה שוטפת עדכון ושידרוג אתר האינטרנט הסוכנותי בצרפתית הקשור לעליה </t>
  </si>
  <si>
    <t xml:space="preserve">ירידי עלייה בישראל  </t>
  </si>
  <si>
    <t>יריד</t>
  </si>
  <si>
    <t>אולם, כיבוד, הקמת היריד</t>
  </si>
  <si>
    <t>שירות עלייה עד הבית</t>
  </si>
  <si>
    <t>עובדים מישראל</t>
  </si>
  <si>
    <t>עובדים מצרפת</t>
  </si>
  <si>
    <t>שליחויות</t>
  </si>
  <si>
    <t>טיסות  ונסיעות פנים</t>
  </si>
  <si>
    <t>אש''ל + לינה  14 יום כל שליחות</t>
  </si>
  <si>
    <t>10 עובדים ישראלים או מקומיים המגיעים לעולים פוטציאלים עד הבית</t>
  </si>
  <si>
    <t>נסיעות פנים לעובדים מצרפת</t>
  </si>
  <si>
    <t xml:space="preserve">ירידי עידוד עלייה  </t>
  </si>
  <si>
    <t>פרסום ברשתות החברתיות</t>
  </si>
  <si>
    <t>1000$ מתקן, כ 2000$ הקמת דוכן ממותג ועיצוב ,חומרים כ 1500$</t>
  </si>
  <si>
    <t>תגבור שליחויות קצרות דרום אמריקה</t>
  </si>
  <si>
    <t>אש''ל + לינה 150$ 12 יום כל נסיעה + העברות 20$</t>
  </si>
  <si>
    <t>פעילות בארץ היעד (מתקן, אבטחה, פרסום וכה)</t>
  </si>
  <si>
    <t>מבקשים להוסיף תגבור שליחויות קצרות ארגנטינה, ברזיל, אורוגוואי, צ'ילה, קולומביה ונצואלה</t>
  </si>
  <si>
    <t>8 נוסעים * 1 יריד</t>
  </si>
  <si>
    <t xml:space="preserve">אש"ל 90$*5 ימים +לינה 180$ * 5 ימים + העברות </t>
  </si>
  <si>
    <t xml:space="preserve">יועץ תעסוקה </t>
  </si>
  <si>
    <t>01/01/2017 עד 31/07/2017</t>
  </si>
  <si>
    <t>עובידם במשרה מלאה</t>
  </si>
  <si>
    <t>עלות מעביד (9*1)</t>
  </si>
  <si>
    <t xml:space="preserve">טיסות </t>
  </si>
  <si>
    <t xml:space="preserve">אש''ל + לינה </t>
  </si>
  <si>
    <t xml:space="preserve">הנחייה וליווי מקצוע של המורים במהלך מחזור הלימוד </t>
  </si>
  <si>
    <t>עדכון התוכנית</t>
  </si>
  <si>
    <t>פעילות השליח - ירד 15% מאחר ולא חלק משכר אלא תוכנית</t>
  </si>
  <si>
    <t>הוצאות תפעול וביצוע אירועים בקהילות (שכירות, תקשורת, השתתפות, אודיו/וידאו, כיבוד וכיו"ב) (לא מתקיים בכל מפגש ולכן הערכת 75 אירועים )</t>
  </si>
  <si>
    <t>(אש"ל + שכר **200$+לינה 180$ *  +ממוצע נסיעות ביום  50 $ )* 10 ימים</t>
  </si>
  <si>
    <t xml:space="preserve"> טיסות 2,200$</t>
  </si>
  <si>
    <t>טיסה  1,800$</t>
  </si>
  <si>
    <t>נסיעות</t>
  </si>
  <si>
    <t>רכז עידוד עלייה</t>
  </si>
  <si>
    <t xml:space="preserve">פעילויות סוף-שבוע לעידוד עלייה </t>
  </si>
  <si>
    <t>מס' סופי שבוע</t>
  </si>
  <si>
    <t xml:space="preserve">   לינה 75$ + אוכל ל 3 ימים * 55$ ליום - 25 משתתפים + 5אנשי צוות מקומי</t>
  </si>
  <si>
    <t xml:space="preserve">הסעות </t>
  </si>
  <si>
    <t>צוות חינוכי מהארץ- טיסות 2 אנשי תוכן מהארץ- כרטיס טיסה 1900$</t>
  </si>
  <si>
    <t>צוות חינוכי -60 $ אשל ולינה 80$</t>
  </si>
  <si>
    <t xml:space="preserve">השתתפות עצמית </t>
  </si>
  <si>
    <t>רכז פעילות עידוד עלייה אנגליה</t>
  </si>
  <si>
    <t>5 ימים - שני מרצים לכל יום פעילות</t>
  </si>
  <si>
    <t>נסיעות מרצים</t>
  </si>
  <si>
    <t>ביצוע תכנית זו מאפשרת עבודת עומק רציפה ואיכותית בקהילות השונות וקירוב אנשים נוספים למעגל העלייה. בנוסף - מהווה פעילות הכנה, תמיכה והרחבה של הפעילויות הנוספות.</t>
  </si>
  <si>
    <t>02/2016-2/2017</t>
  </si>
  <si>
    <t>ביצוע עד כה בתוכניות אופק</t>
  </si>
  <si>
    <t>הערות והסברים</t>
  </si>
  <si>
    <t>כוללל הוצאות אוטובוסים</t>
  </si>
  <si>
    <t xml:space="preserve">הוצאות תפעול שונות: כגון הפקת חומרים, תקשורת, ציוד </t>
  </si>
  <si>
    <t xml:space="preserve">ירידי עלייה בבלגיה </t>
  </si>
  <si>
    <t xml:space="preserve">ירידי עלייה (7) בבלגיה </t>
  </si>
  <si>
    <t>שכר מרצים מישראל. רק מרצה אחד בשכר מתוך 2 ב 50% מן הצוותים</t>
  </si>
  <si>
    <t>שכר מרצים מישראל. עבור 2 מרצים מתוך 10</t>
  </si>
  <si>
    <t>תוספת לאבטחה עבור יריד מוסקבה במימון עיקרי של אופק,, חד פעמי</t>
  </si>
  <si>
    <t>תוספת תשלום עבור שכירות ביריד מוסקבה , חד פעמי בשל כמות רבה של משתתפים</t>
  </si>
  <si>
    <t>שכר מרצים מישראל. שני מרצים בשכר מתוך 7 ב 50% מן הצוותים</t>
  </si>
  <si>
    <t>נסיעות של שליחי עידוד עלייה  ניידים קיימים. תגבור ב 10 טיסות לשליח בנוסף ל 4 טיסות במימון של הסוכנות. כל שליחות 12 יום / טיסות 800$ , אש"ל 60$*12, מלון 120$*12,  תחבורה, ביטוח ושונות 400$ ל12 ימים</t>
  </si>
  <si>
    <t>נסיעות של שליח עידוד עלייה נייד לסט' פטרבורג. כל שליחות 12 יום / טיסות 700$ , אש"ל 60$*12, מלון 148$*12,  תחבורה,</t>
  </si>
  <si>
    <t>מספר רכזים</t>
  </si>
  <si>
    <t>מספר רכזי עלייה עמ"י</t>
  </si>
  <si>
    <t>שכר רכזי עלייה מקומיים</t>
  </si>
  <si>
    <t>שכר רכזי עלייה עמ"י</t>
  </si>
  <si>
    <t>שליח תעסוקה נייד שכר</t>
  </si>
  <si>
    <t>חנייה, מחשוב, תקשורת, אחזקה וביטוח</t>
  </si>
  <si>
    <t>מספר שליחי תעסוקה ניידים</t>
  </si>
  <si>
    <t>תשלום עבור סדנאות וירטואליות מישראל</t>
  </si>
  <si>
    <t>02/2016-02/2017</t>
  </si>
  <si>
    <t>מספר סדנאות (משך כל סדנה 3 שעות, התחלה מנוב')</t>
  </si>
  <si>
    <t>מספר משתתפים בכול סדנה</t>
  </si>
  <si>
    <t>העברת סדנה ע"י גוף מקצועי</t>
  </si>
  <si>
    <t>תוכנית חדשה- שיגור חומרי שיווק והסברה</t>
  </si>
  <si>
    <t>שיגור חומרי שיווק והסברה</t>
  </si>
  <si>
    <t xml:space="preserve">צוות הקמה ותפעול של כל יריד - 8 איש </t>
  </si>
  <si>
    <t xml:space="preserve">נציגים מישראל. 6 נציגים לכל אירוע. (טיסה -650-700$, אש"ל $60 *3, לינה 150$*3, תחבורה 150-170$) </t>
  </si>
  <si>
    <t>שכר מרצים מישראל. עבור 2 מרצים מתוך 6</t>
  </si>
  <si>
    <t>מסעות פרסום באינטרנט של תכניות אופק  (רשתות חברתיות, אתרים בישראל ובשטח, בלוגרים, פורומים)</t>
  </si>
  <si>
    <t>הפקת חומרי פירסום (כתיבת תוכן, הגהה, הכנה לדפסה, הדפסה ושיגור) בארץ ובשטח חמ"ע</t>
  </si>
  <si>
    <t>הפקת חומרי הסברה ושיווק תוכניות *</t>
  </si>
  <si>
    <t>הכנת חומרים דיגיטליים - סרטי תדמית, סיורים וירטואליים,של תוכניות קליטה בישראל</t>
  </si>
  <si>
    <t>טיסה לינה ואשל  טיסות   (120*14+1900+60*14+20*14)  מרצה</t>
  </si>
  <si>
    <t xml:space="preserve">לינה וכלכלה 3 לילות </t>
  </si>
  <si>
    <t xml:space="preserve"> מכוונותתוכנית חדשה- סדנאות יעוץ קריירה</t>
  </si>
  <si>
    <t>צוות מישראל</t>
  </si>
  <si>
    <t xml:space="preserve"> סמינרי הכנה לעלייה בוגרי חוויות</t>
  </si>
  <si>
    <t xml:space="preserve">  עובדים ישראלים במשלחת  </t>
  </si>
  <si>
    <t xml:space="preserve">     רכזי מתנדבים</t>
  </si>
  <si>
    <t xml:space="preserve">  רכז הפרויקט</t>
  </si>
  <si>
    <t xml:space="preserve"> ערבי מידע</t>
  </si>
  <si>
    <t xml:space="preserve"> טיסות </t>
  </si>
  <si>
    <t xml:space="preserve"> סדנאות יעוץ קריירה</t>
  </si>
  <si>
    <t>סמינרי השתלמות למורים</t>
  </si>
  <si>
    <t>תגבור צוות דוברי רוסית בגלובל</t>
  </si>
  <si>
    <t>סה"כ איטליה</t>
  </si>
  <si>
    <t>6 נוסעים * 1 יריד</t>
  </si>
  <si>
    <t xml:space="preserve">אש"ל 60$*3 ימים +לינה 100$ * 3 ימים + העברות </t>
  </si>
  <si>
    <t>תגבור שליחויות קצרות מזרח אירופה</t>
  </si>
  <si>
    <t>סה"כ הונגריה ומזרח אירופה</t>
  </si>
  <si>
    <t>רכז עלייה</t>
  </si>
  <si>
    <t>סה"כ תורכיה</t>
  </si>
  <si>
    <t>איטליה</t>
  </si>
  <si>
    <t>ספרד</t>
  </si>
  <si>
    <t>הונגריה ומזרח אירופה</t>
  </si>
  <si>
    <t>סה"כ להונגריה ומזרח אירופה</t>
  </si>
  <si>
    <t>דרום אפריקה</t>
  </si>
  <si>
    <t xml:space="preserve">מרכזי הכנה </t>
  </si>
  <si>
    <t>השתלמות צוות ומורים: הדרכה מקוונת ומודרכת למורים המקומיים (עלות מרצים 310 ₪ לשעה* 8 שעות+ 300 $ עזרי לימוד ל-3 מורים)</t>
  </si>
  <si>
    <t xml:space="preserve">כיתות לימוד </t>
  </si>
  <si>
    <t>חומרים חינוכיים לתלמידים 500$  לכיתה ( חומרי לימוד)</t>
  </si>
  <si>
    <t>בניכוי הכנסות ממשתתפים 50 %</t>
  </si>
  <si>
    <t>מנהלה: פרסום לאיתור מורים, ואיתור תלמידים,</t>
  </si>
  <si>
    <t xml:space="preserve"> (קבוצות)סמינר לעידוד עליה </t>
  </si>
  <si>
    <t>רכז  עידוד עלייה - עובד מקומי</t>
  </si>
  <si>
    <t xml:space="preserve"> עלות שכר רכז/ת לתחום עידוד העלייה</t>
  </si>
  <si>
    <t>* חצי משרת רכז לשנה</t>
  </si>
  <si>
    <t>מרכזי הכנה לעלייה</t>
  </si>
  <si>
    <t>כיתות לימוד</t>
  </si>
  <si>
    <t>חומרים חינוכיים לתלמידים 400$  לכיתה ( חומרי לימוד)</t>
  </si>
  <si>
    <t xml:space="preserve">עלות שכירות לכיתה </t>
  </si>
  <si>
    <t>מנהלה ושונות: ציוד, כיבוד וכיו"ב</t>
  </si>
  <si>
    <t>מינימום 10 תלמידים בכיתה</t>
  </si>
  <si>
    <t>עידוד והכנה במסגרת הקהל המסורתי</t>
  </si>
  <si>
    <t>הגעת מרצים מהארץ- דוברי רוסית ואנגלית ( $1250 טיסה, 60 $ אשל, 150 $ לינה)</t>
  </si>
  <si>
    <t>עידוד והכנה במסגרת קהל הצעירים-רווקים</t>
  </si>
  <si>
    <t>הגעת נציגים מהארץ- דוברי רוסית, עברית ואנגלית ( $1250 טיסה, 60 $ אשל, 150 $ לינה)</t>
  </si>
  <si>
    <t>התוכנית עבור כ 100 משתתפים</t>
  </si>
  <si>
    <t>עידוד והכנה לעלייה תוך יצירת קישור עמוק בין המשפחות בארץ-ובארה"ב</t>
  </si>
  <si>
    <t>צפון אמריקה</t>
  </si>
  <si>
    <t>סה"כ לצפון אמריקה</t>
  </si>
  <si>
    <t>מצב קיים</t>
  </si>
  <si>
    <t>תכנית מעודכנת - הארכה עד 30/09/2017</t>
  </si>
  <si>
    <t xml:space="preserve">נתוני עליה </t>
  </si>
  <si>
    <t>הסכם 02/2016 -  2/2017</t>
  </si>
  <si>
    <t>צפי ביצוע עד 31.12.16</t>
  </si>
  <si>
    <t>בקשה כולל הארכה ל  09/2017</t>
  </si>
  <si>
    <t>השקעת  ללא אופק ישראלי</t>
  </si>
  <si>
    <t xml:space="preserve">י"ח סוכנות </t>
  </si>
  <si>
    <t>כמות עולים (2015-16)</t>
  </si>
  <si>
    <t>זכאי עליה</t>
  </si>
  <si>
    <t>פתיחת תיקים</t>
  </si>
  <si>
    <t>השקעת סוכנות</t>
  </si>
  <si>
    <t xml:space="preserve">השקעת הצ"ע  </t>
  </si>
  <si>
    <t>סדנאות יעוץ קריירה</t>
  </si>
  <si>
    <t xml:space="preserve">סיורי גישוש מקצועיים </t>
  </si>
  <si>
    <t>ירידי עלייה בבלגיה</t>
  </si>
  <si>
    <t>ירידי  תעסוקה</t>
  </si>
  <si>
    <t xml:space="preserve"> רכז הפרויקט</t>
  </si>
  <si>
    <t>ירידי עלייה בישראל</t>
  </si>
  <si>
    <t>פעילויות סוף-שבוע לעידוד עלייה</t>
  </si>
  <si>
    <t>קורסים מקצועיים בארץ היעד לקראת עלייה webinars</t>
  </si>
  <si>
    <t>אמל''ט כללי</t>
  </si>
  <si>
    <t>סה"כ אמל''ט כללי</t>
  </si>
  <si>
    <t>פעילויות עידוד עלייה - חד יומיות</t>
  </si>
  <si>
    <t xml:space="preserve"> שליח נייד במערב אירופה</t>
  </si>
  <si>
    <t>סה"כ בריטניה</t>
  </si>
  <si>
    <t>ירידי עידוד עלייה</t>
  </si>
  <si>
    <t>סה"כ הונגריה</t>
  </si>
  <si>
    <t>סה''כ ספרד</t>
  </si>
  <si>
    <t>תורכיה</t>
  </si>
  <si>
    <t>סה"כ דרום אפריקה</t>
  </si>
  <si>
    <t>סה"כ כח אדם</t>
  </si>
  <si>
    <t>מכלל התקציב</t>
  </si>
  <si>
    <t>כח אדם הצ"ע</t>
  </si>
  <si>
    <t>מכלל כ"א</t>
  </si>
  <si>
    <t>כח אדם סוכנות</t>
  </si>
  <si>
    <t>כ"א משרד</t>
  </si>
  <si>
    <t xml:space="preserve">תוספת כספית </t>
  </si>
  <si>
    <t>הערכת שווק</t>
  </si>
  <si>
    <t>גרמניה</t>
  </si>
  <si>
    <t>סה"כ גרמניה</t>
  </si>
  <si>
    <t xml:space="preserve"> (קבוצות)פעילות יומית לעידוד עליה </t>
  </si>
  <si>
    <t>רכז  עידוד עלייה ומרכזי הכנה לעלייה - עובד מקומי - ברלין</t>
  </si>
  <si>
    <t>רכז  עידוד עלייה ומרכזי הכנה לעלייה - עובד מקומי - פרנקפורט (או עיר אחרת)</t>
  </si>
  <si>
    <t>שעות ליווי והנחיית מורים במהלך שנה (מקוון)</t>
  </si>
  <si>
    <t>1מורה</t>
  </si>
  <si>
    <t>שכירות כיתות לימוד ל-3 ימי לימוד (2 סמינרים)</t>
  </si>
  <si>
    <t>החזר נסיעות ל-15 מורים (2 סמינרים)</t>
  </si>
  <si>
    <t>ארוחות וכיבוד ל-15 מורים (2 סמינרים)</t>
  </si>
  <si>
    <t>לינה ל-15 מורים * 2 לילות (2 סמינרים)</t>
  </si>
  <si>
    <t xml:space="preserve">מספר מורים </t>
  </si>
  <si>
    <t>מספר משתתפים בממוצע</t>
  </si>
  <si>
    <t>אחוז משרה רכז</t>
  </si>
  <si>
    <t xml:space="preserve">ירידים  </t>
  </si>
  <si>
    <t>נציגים מהארץ (10 בכל יריד)</t>
  </si>
  <si>
    <t>משתתפים (750 בכל יריד)</t>
  </si>
  <si>
    <t>פרסום, שיווק ומיתוג</t>
  </si>
  <si>
    <t>טיסות (10 נציגים בכל יריד)</t>
  </si>
  <si>
    <t>לינה וכלכלה + אש"ל   (10 נציגים*4 לילות*250$ לינה ללילה, 200$ שכר ואש''ל * 5 ימים) ל-2 ירידים</t>
  </si>
  <si>
    <t>מספר אנשי צוות שיוצאים מהארץ</t>
  </si>
  <si>
    <t>שכר מרצים מישראל. רק מרצה אחד מתוך 3 בסמינר</t>
  </si>
  <si>
    <t>צוות מהארץ</t>
  </si>
  <si>
    <t xml:space="preserve"> מספר ירידים</t>
  </si>
  <si>
    <t>פרסום (בעיתונות, רדיו, אינטרנט, רשתות חברתיות כולל הפקת חומר פרסומי בשפה המקומית)</t>
  </si>
  <si>
    <t xml:space="preserve">קיימת השתתפות עצמית של המשתתפים לילה נוסף המשולמת ישירות המלון </t>
  </si>
  <si>
    <t xml:space="preserve">שכירות משרד </t>
  </si>
  <si>
    <t>רכז  עידוד עלייה ומרכזי הכנה לעלייה</t>
  </si>
  <si>
    <t>שכר רכז רכז  עידוד עלייה</t>
  </si>
  <si>
    <t>כמות י"ח</t>
  </si>
  <si>
    <t>* רכז שהיה בחצי משרה יעבור למשרה מלאה</t>
  </si>
  <si>
    <t xml:space="preserve"> יועצים תעסוקתיים והכרת תארים  </t>
  </si>
  <si>
    <t xml:space="preserve">עבור 6 חודשים </t>
  </si>
  <si>
    <t>הפקת חוברת  הסבר לעולה</t>
  </si>
  <si>
    <t>ירידי עידוד עלייה ותעסוקה (כולל צ'ילה ואורוגוואי )</t>
  </si>
  <si>
    <t xml:space="preserve">אש"ל 60$*5 ימים +לינה 150$ * 3 ימים + העברות </t>
  </si>
  <si>
    <t>מתקן  20,000€</t>
  </si>
  <si>
    <t>מתקן  10,000$</t>
  </si>
  <si>
    <t xml:space="preserve"> עלות מעביד (4*6)</t>
  </si>
  <si>
    <t xml:space="preserve">כנס עליה בישראל  </t>
  </si>
  <si>
    <t xml:space="preserve">אש"ל 60$*4 ימים +לינה 100$ * 4 ימים + העברות </t>
  </si>
  <si>
    <t>אש"ל 60$ ליום + לינה 120$ ליום + העברות = עבור 14 ימים</t>
  </si>
  <si>
    <t>טכנולוגיה</t>
  </si>
  <si>
    <t xml:space="preserve">סה"כ ברזיל </t>
  </si>
  <si>
    <t>תגבור כח אדם בגלובל סנטר</t>
  </si>
  <si>
    <t>01/01/2017 עד 30/09/2017</t>
  </si>
  <si>
    <t>עובדים דוברי רוסית</t>
  </si>
  <si>
    <t>עלות מעביד ל-9 חודשים</t>
  </si>
  <si>
    <t>תקשורת, חניה, מחשוב וכד'</t>
  </si>
  <si>
    <t>עובדים דוברי צרפתית</t>
  </si>
  <si>
    <t>עובדים דוברי ספרדית/פורטוגזית</t>
  </si>
  <si>
    <t>חידוש הסכם קיים ישירות מול המשרד - מבקשים תשלום עבור 4 עובדים דוברי רוסית, 4 דוברי צרפתית ו-1 דובר ספרדית/פםרטוגזית ל-9 חודשים // עלות ליחידה הועברה משנתי לחודשי</t>
  </si>
  <si>
    <t>תוספת להוצאות שכ"ד</t>
  </si>
  <si>
    <t>משרות נוספות קיימות בגלובל סנטר סוכנות יהודית</t>
  </si>
  <si>
    <t>סה"כ עובדים</t>
  </si>
  <si>
    <t xml:space="preserve"> ירידי עלייה כלליים בערים בינוניות</t>
  </si>
  <si>
    <t>מספר ירידים גדולים</t>
  </si>
  <si>
    <t xml:space="preserve"> - סדנאות יעוץ קריירה</t>
  </si>
  <si>
    <t xml:space="preserve"> שיגור חומרי שיווק והסברה</t>
  </si>
  <si>
    <r>
      <t>מספר תלמידים בכיתה (</t>
    </r>
    <r>
      <rPr>
        <b/>
        <sz val="10"/>
        <color indexed="8"/>
        <rFont val="Arial"/>
        <family val="2"/>
        <charset val="177"/>
      </rPr>
      <t>בשלבים אחרונים של תיק העלייה)</t>
    </r>
  </si>
  <si>
    <t xml:space="preserve">טיסה/ נסיעה + *12 משתתפים  6 ימים 800€ </t>
  </si>
  <si>
    <t>לינה וכלכלה + אש"ל   2ירידים *12 משתתפים  6 ימים+ ירידים פריפריה 4 נוסעים 250€</t>
  </si>
  <si>
    <t>לינה וכלכלה + אש"ל   *12 משתתפים  6 ימים+ ירידים פריפריה 4 נוסעים 250€</t>
  </si>
  <si>
    <r>
      <t>ירידי  ותעסוקה</t>
    </r>
    <r>
      <rPr>
        <sz val="10"/>
        <color indexed="8"/>
        <rFont val="Arial"/>
        <family val="2"/>
      </rPr>
      <t xml:space="preserve"> ( 7 נציגים מהארץ  * 6 ימים) - נייד בן הערים</t>
    </r>
  </si>
  <si>
    <r>
      <t>ירידי ותעסוקה</t>
    </r>
    <r>
      <rPr>
        <sz val="10"/>
        <color indexed="8"/>
        <rFont val="Arial"/>
        <family val="2"/>
      </rPr>
      <t xml:space="preserve"> ( 7 נציגים מהארץ  * 5 ימים) - נייד בן הערים</t>
    </r>
  </si>
  <si>
    <r>
      <rPr>
        <strike/>
        <sz val="10"/>
        <rFont val="Arial"/>
        <family val="2"/>
        <charset val="177"/>
        <scheme val="minor"/>
      </rPr>
      <t>שליחים מישראל  שני שליחים לכל יחידה</t>
    </r>
    <r>
      <rPr>
        <sz val="10"/>
        <rFont val="Arial"/>
        <family val="2"/>
        <charset val="177"/>
        <scheme val="minor"/>
      </rPr>
      <t>.  - ככל שיידרש עובדי המשרד לא יהיו ע"ח אופק ישראלי</t>
    </r>
  </si>
  <si>
    <r>
      <rPr>
        <strike/>
        <sz val="10"/>
        <color theme="1"/>
        <rFont val="Arial"/>
        <family val="2"/>
        <charset val="177"/>
        <scheme val="minor"/>
      </rPr>
      <t xml:space="preserve">שליחים מישראל  שני שליחים לכל יחידה. </t>
    </r>
    <r>
      <rPr>
        <sz val="10"/>
        <color theme="1"/>
        <rFont val="Arial"/>
        <family val="2"/>
        <charset val="177"/>
        <scheme val="minor"/>
      </rPr>
      <t xml:space="preserve"> - ככל שיידרש עובדי המשרד לא יהיו ע"ח אופק ישראלי</t>
    </r>
  </si>
  <si>
    <t>מספר משפחות</t>
  </si>
  <si>
    <t>עלות ביקור ( שכר ונסיעות</t>
  </si>
  <si>
    <t>02/2016-09/2017</t>
  </si>
  <si>
    <t>06/2016-09/2017</t>
  </si>
  <si>
    <t>6 נוסעים * 1 יריד בהונגריה / פולין</t>
  </si>
  <si>
    <t xml:space="preserve"> יחידה שונתה לחודשים * אחוז משרה ועלות ליחידה הועברה משנתי לחודשי // תקצוב ל-6 חודש</t>
  </si>
  <si>
    <t>מערב אירופה</t>
  </si>
  <si>
    <t>סה"כ למערב אירופה</t>
  </si>
  <si>
    <t xml:space="preserve">סה"כ </t>
  </si>
  <si>
    <t>שכר יועצים בפריס (15*2)</t>
  </si>
  <si>
    <t xml:space="preserve">עלות יחידה הכוונה עלות ממוצעת לחודש לעובד ,כאשר החישוב נעשה לאחר ניתוח עלויות בפועל של השכר, לאחר ניתוח מתי כל עובד התחיל ומס' חודשי עבודה בפועל , סה"כ עלות ל17 חודשים*85%, היחידות זה מס' חודשי עבודה </t>
  </si>
  <si>
    <t>3 ירידים (7 נוסעים,7 נוסעים ו-5 נוסעים)</t>
  </si>
  <si>
    <t>תמיכה שכירות דירה לשליחים</t>
  </si>
  <si>
    <t>עלות מעביד (15*3)</t>
  </si>
  <si>
    <t xml:space="preserve">טיסה/ נסיעה + *12 משתתפים  5 ימים 800$ </t>
  </si>
  <si>
    <t>מתקן פריס 17,500$</t>
  </si>
  <si>
    <t>130$ למאבטח * 2 מאבטחים</t>
  </si>
  <si>
    <t>פרסום (בעיתונות, רדיו, אינטרנט, רשתות חברתיות)  //**//  שכירות מתקן כ 2500$,הקמת דוכן ממותג ועיצוב כ 1500$,חומרים 1000$  **</t>
  </si>
  <si>
    <t>פרסום בעיתונות וברדיו  //**//   שכירות מתקן כ 2500$,הקמת דוכן ממותג ועיצוב כ 1500$,חומרים 1000$  **</t>
  </si>
  <si>
    <t>פרסום והסברה: עיתונות קהילתית, פליירים ופוסטרים, רדיו יהודי  //**//  חומרים חינוכיים (פירוט סופי לאחר אישור סילבוס ותכנית חינוכית)</t>
  </si>
  <si>
    <t>פרסום //**// עלות תפעול שהייה ואירועים (שכירות, כיבוד, תקשורת, חומרים וכיו"ב)</t>
  </si>
  <si>
    <t>תשתית  //**//  שיווק וסיוע לוגיסטי  בברזיל</t>
  </si>
  <si>
    <t>פרסום (בעיתונות, רדיו, אינטרנט, רשתות חברתיות)  //   שכירות מתקן כ 2500$,הקמת דוכן ממותג ועיצוב כ 1500$,חומרים 1000$</t>
  </si>
  <si>
    <t>פרסום בעיתונות וברדיו  //**//  שכירות מתקן כ 2500$,הקמת דוכן ממותג ועיצוב כ 1500$,חומרים 1000$</t>
  </si>
  <si>
    <t>פרסום  //**//  עלות תפעול שהייה ואירועים (שכירות, כיבוד, תקשורת, חומרים וכיו"ב)</t>
  </si>
  <si>
    <t>הרצאה כולל הכנה  //**//  תשתית  //**// שיווק וסיוע לוגיסטי</t>
  </si>
  <si>
    <t xml:space="preserve">הסעות  //**//    חומרים ועזרי לימוד לסדנאות(  עזרים לסדנאות עבודה)   //**//   פרסום ופעילויות לגיבוש הקבוצה  //**//  פעילויות שוטפות: מפגשי אוריינטציה, הרצאות בנושאי עלייה מקצועיים,( 10-30 משתתפים בפעילות)   //**//  חומרים חינוכיים ועזרים לפעולות הכנה  //**//  </t>
  </si>
  <si>
    <t>פרסום וחומרי עזר  //**// עלות תפעול שהייה ואירועים (שכירות, כיבוד, תקשורת, חומרים וכיו"ב)</t>
  </si>
  <si>
    <t>פרסום וחומרי עזר  //**// עלות תפעול  ואירועים (שכירות, כיבוד, תקשורת, חומרים וכיו"ב)</t>
  </si>
  <si>
    <t>פרסום בעיתונות וברדיו ורשתות חברתיות  //**//  7000$ שכירות מתקן כ 4500$,הקמת דוכן ממותג ועיצוב כ 1500$,חומרים</t>
  </si>
  <si>
    <t>שכירות אולם 2000$//**//  פרסום ושיווק 1000$</t>
  </si>
  <si>
    <t>שכירות כיתות לימוד ל-3 ימי לימוד (2 סמינרים)  //**//  הוצאות תפעול (תקשורת, תחבורה ועזרים ואדמיניסטרציה כללית)</t>
  </si>
  <si>
    <t>//**//   פרסום ופעילויות לגיבוש הקבוצה והכנה למפגשים  //**//    הגעה לקהילות השונות  במרב הגיאוגרפילמטרות שיווק, הכנה ופעילויות : עלויות טיסת פנים ותחבורה קרקעית 350 $ //**// פעילויות שוטפות: מפגשי אוריינטציה, הרצאות בנושאי עלייה מקצועיים,( שכירות כיבוד וחומרים לפעילות)</t>
  </si>
  <si>
    <t xml:space="preserve"> פרסום ופעילויות לגיבוש הקבוצה והכנה למפגשים  //**//   הגעה לקהילות השונות  במרב הגיאוגרפילמטרות שיווק, הכנה ופעילויות : עלויות טיסת פנים ותחבורה קרקעית 350 $ //**//  פעילויות שוטפות: מפגשי אוריינטציה, הרצאות בנושאי עלייה מקצועיים,( שכירות כיבוד וחומרים לפעילות)</t>
  </si>
  <si>
    <t>פרסום בעיתונות בשפה הרוסית  //**// השתתפות באירועי הקהילה - מתן התוכן הרלוונטי ( דמי השתתפות בארוע) //**//  מערך שיעורים/סדנאות קבוע בבתי הכנסת/מרכזי קהילה - 2 מרכזים, 5 מפגשים כ"א (עלויות - שכירות +כיבוד)</t>
  </si>
  <si>
    <t>פרסום בעיתונות בשפה הרוסית  //**//  השתתפות באירועי הקהילה - מתן התוכן הרלוונטי ( דמי השתתפות בארוע)  //**//  מערך שיעורים/סדנאות קבוע בבתי הכנסת/מרכזי קהילה - 2 מרכזים, 5 מפגשים כ"א (עלויות - שכירות +כיבוד)</t>
  </si>
  <si>
    <t>פרסום בעיתונות בשפה הרוסית ובמדיה דיגיטלית  //**// השתתפות באירועי הקהילה - מתן התוכן הרלוונטי (דמי השתתפות)  //**//  פעילויות לימוד והכנה - לימודים וקריירה בישראל, תרבות וכיו"ב (עלויות מקום וכיבוד)  //**//  פרסום בארץ באתרים רלוונטיים לקהלי היעד ויצירת קשר עם ארגונים מקבילים</t>
  </si>
  <si>
    <t>פרסום בעיתונות בשפה הרוסית ובמדיה דיגיטלית  //**// השתתפות באירועי הקהילה - מתן התוכן הרלוונטי (דמי השתתפות)</t>
  </si>
  <si>
    <t>פרסום בעיתונות בשפה הרוסית ובמדיה דיגיטלית  //**// אירוע חשיפה לגיבוש הקבוצה הרלוונטית ( שכ"ד כיבוד ציוד הגברה ותוכנית אומנותית)  //**// פעילויות לימוד והכנה - לימודים וקריירה בישראל, חיי משפחה, קהילה,תרבות וכיו"ב (עלויות מקום וכיבוד) 15-25 משתתפים   //**// פרסום בארץ ויצירת קשר עם משפחות העולים הפוטנציאליים</t>
  </si>
  <si>
    <t xml:space="preserve">פרסום בעיתונות בשפה הרוסית ובמדיה דיגיטלית  //**//  אירוע חשיפה לגיבוש הקבוצה הרלוונטית ( שכ"ד כיבוד ציוד הגברה ותוכנית אומנותית)  //  פעילויות לימוד והכנה - לימודים וקריירה בישראל, חיי משפחה, קהילה,תרבות וכיו"ב (עלויות מקום וכיבוד) 15-25 משתתפים   //**//  </t>
  </si>
  <si>
    <t>פרסום, שיווק ומיתוג //**//  מתקן (השכרה, אבטחה)  //**//  בנייה ועיצוב של דוכנים</t>
  </si>
  <si>
    <t>חומר עזר (פליירים/רול-אפים וכד')  //**// אירוע (השכרת מקום, כיבוד) - 5 אירועים //**//  תקשורת</t>
  </si>
  <si>
    <r>
      <t xml:space="preserve">הכנת מרצים/מסבירנים  //**// </t>
    </r>
    <r>
      <rPr>
        <sz val="10"/>
        <color theme="1"/>
        <rFont val="Arial"/>
        <family val="2"/>
        <scheme val="minor"/>
      </rPr>
      <t xml:space="preserve">פרסום ותהליך איתור ומיון  //**//  מפגש הסברה ראשוני  //**//  יום הכשרה   //**//  הפקת חומרים (לחלוקה בקהילות)  //**//  מפגשי סיכום והערכה  //**//  הוצאות תפעול שונות </t>
    </r>
  </si>
  <si>
    <t>אוכל כשר לאדם לסופ"ש (6 ארוחות): 250 אירו //**//  הסעות (כיוון אחד 1000 אירו)  //**//  השכרת אולמות (1500 אירו)  //**//  חומרים ועזרי לימוד לסדנאות הפעילות  //**//  הוצאות תפעול כלליות לסופ"ש, תקשורת ונסיעות וכו' //**// פעילויות המשך: הרצאות בנושאי עלייה מקצועיים וכיו"ב ( שכירות כיבוד וחומרים לפעילות)</t>
  </si>
  <si>
    <t>פעילויות הכנה לסיור: בקהילות היעד (2 מפגשים לקבוצה )  //**//  פעילויות בישראל - נסיעות, אתרים וכיו"ב. פר קבוצה  //**//  הפקת חומרים לחלוקה  //**//  פעילויות המשך בארץ היעד (מפגש לקבוצה)  //**//  הוצ' שונות במהלך הסיור: כיבוד, עזרים, נסיעות מרצים וכיו"ב</t>
  </si>
  <si>
    <t>אולם, כיבוד, הקמת היריד  //**//  במה, הגברה ותאורה, הפקה, אומן  //**// הסעות</t>
  </si>
  <si>
    <t xml:space="preserve">תחבורה (אוטובוסים ותחבורה למשתתפים )  //**//  הרצאות / סדנאות / יועצי תוכן 2 לסמינר  //**//  אביזרים מתודיים   //**//  </t>
  </si>
  <si>
    <t>תחבורה  //**//  הרצאות / סדנאות / יועצי תוכן  //**//  אביזרים מתודיים (הדפסת חומרים,  ציוד משרדי, ציוד טכני / מולטימדיה )</t>
  </si>
  <si>
    <t>תחבורה (רכבות / טיסות / תחברוה בעיר)  //**//  הרצאות / סדנאות / יועצי תוכן 90$  //**//  אביזרים מתודיים.</t>
  </si>
  <si>
    <t>תחבורה למשתתפים  //**//  הרצאות / סדנאות / יועצי תוכן  //**//  אביזרים מתודיים (הדפסת חומרים,  ציוד משרדי, ציוד טכני / מולטימדיה )</t>
  </si>
  <si>
    <t>כלכלה וכיבוד (חד יומי)  //**//  פעילות ותוכן</t>
  </si>
  <si>
    <t xml:space="preserve">תחבורה  //**//  הרצאות / סדנאות / יועצי תוכן  //**//  אביזרים מתודיים </t>
  </si>
  <si>
    <t>שכירת מקומות למפגשים   //**//  תחבורה  ( אוטובוסים)  //**//  כיבוד   //**//  שווק</t>
  </si>
  <si>
    <t>שכירת מתקן ועיצוב //**//  תחבורה (אוטובוסים מערי שדה ותחבורה לצורך ארגון אירוע)  //**//  כיבוד  //**//  אבטחה  //**//  ציוד ותקשורת //**//  שווק</t>
  </si>
  <si>
    <t>שכר דירה  //**//  דמי תייוך והוצאות מלון בתחילת שליחות  //**//  מטען הלוך וחזור  //**//  ביטוח רפואי  //**//  אשרות  //**//  הוצאות שונות ( הפרשי עשר, ןכן)</t>
  </si>
  <si>
    <t>כיבוד  //**//  שווק וגיוס</t>
  </si>
  <si>
    <t xml:space="preserve">אביזרים מתודיים  //  שווק//**//  אבטחה </t>
  </si>
  <si>
    <t>פרסום והסברה: עיתונות קהילתית, פליירים ופוסטרים, רדיו יהודי  //**// חומרים חינוכיים (כפוף למספר תלמידים בפועל)</t>
  </si>
  <si>
    <t>שכירות כיתת לימוד ל 5 ימים  //**//  הוצאות תפעול שונות: תקשורת, עזרים, ואדמיניסטרציה כללית</t>
  </si>
  <si>
    <t>פרסום בעיתונות וברדיו  //**//  פרסום ברשתות החברתיות  //**//  1000$ מתקן, כ 2000$ הקמת דוכן ממותג ועיצוב ,חומרים כ 1500$</t>
  </si>
  <si>
    <t>בריטניה</t>
  </si>
  <si>
    <t xml:space="preserve">ירידי עלייה </t>
  </si>
  <si>
    <t xml:space="preserve">עידוד עלייה בקהילות </t>
  </si>
  <si>
    <t>צוות חינוכי -60 $ אשל ולינה 80$ ל 7 ימים</t>
  </si>
  <si>
    <t xml:space="preserve">מספר משפחות </t>
  </si>
  <si>
    <t>מספר משתתפים</t>
  </si>
  <si>
    <t>פעיילות הכרת ישראל</t>
  </si>
  <si>
    <t xml:space="preserve">שכירת מתקן ועיצוב //**//  תחבורה (אוטובוסים מערי שדה ותחבורה לצורך ארגון אירוע)  //**//  כיבוד וקבלת פנים  //**//  אבטחה  //**//  ציוד ותקשורת </t>
  </si>
  <si>
    <t>מרצים מהארץ אשל 3 ימים  90+ לינה לילה אחד 140$ +לינה וכלכלה בסמינר 130</t>
  </si>
  <si>
    <t>לינה וכלכלה + אש"ל 3 ירידים *7 נציגים מהארץ  *  5 ימים</t>
  </si>
  <si>
    <t>מאבטחים</t>
  </si>
  <si>
    <t>תגבור שליחויות קצרות לדרום אמריקה</t>
  </si>
  <si>
    <t xml:space="preserve">משרה קיימת (15 חודש) </t>
  </si>
  <si>
    <t xml:space="preserve"> עלות מעביד (1*15 )</t>
  </si>
  <si>
    <t>השקעת   ללא אופק ישראלי</t>
  </si>
  <si>
    <t>מס' י"ח</t>
  </si>
  <si>
    <t xml:space="preserve">פיילוט כיתות וירטואליות </t>
  </si>
  <si>
    <t xml:space="preserve">הכשרה עולמית למורי עברית מעודדי עלייה - ירושלים </t>
  </si>
  <si>
    <t xml:space="preserve">הערות </t>
  </si>
  <si>
    <t>עלות תואמת תוכנית חלף חל"צ פרט לתוספת שני לילות לצוות מהארץ</t>
  </si>
  <si>
    <t xml:space="preserve">אבטחה  </t>
  </si>
  <si>
    <t>מינימום משתתפים</t>
  </si>
  <si>
    <t xml:space="preserve"> טיסות $700</t>
  </si>
  <si>
    <t>הוצאות לכיתות</t>
  </si>
  <si>
    <t>נסיעות  ביקור בכיתות</t>
  </si>
  <si>
    <t>נסיעות לביקורת בכיתות</t>
  </si>
  <si>
    <t>רכז  אחד עבור האולפנים**</t>
  </si>
  <si>
    <t xml:space="preserve"> יחידה שונתה לחודשים * אחוז משרה ועלות ליחידה הועברה משנתי לחודשי // תקצוב 2 ל-15 </t>
  </si>
  <si>
    <t>הי"ח בתוכנית זו שונתה לצוות ולא למיקום לשם הקלה על הדווח</t>
  </si>
  <si>
    <t>נסיעות של שליח תעסוקה נייד . כל שליחות 12 יום / טיסות 700$ , אש"ל 60$*12, מלון 148$*12,  תחבורה 400$,</t>
  </si>
  <si>
    <t>עליות ליחידה  המקורית של השליח ופעוליותיו לא השתנו. שונתה רק צורת הצגת הי"ח לשם הקלה בדווח.</t>
  </si>
  <si>
    <t>לא קיימת העלאה במחיר לי"ח בהסכם היה רשום מחיר לחצי משרה ובבקשת האכה המחיר למשרה מלאה</t>
  </si>
  <si>
    <t>הגעת מרצים מהארץ היה קיים בהסכם חלף חל"ץ</t>
  </si>
  <si>
    <t>במקור היו 2 סוגי אולפנים ובהארכה אוחדה התוכנית עם עלויות תואמות לתוכנית חלף חל"צ</t>
  </si>
  <si>
    <t>הוצאות תפעול שונות: כגון הפקת חומרים, תקשורת, ציוד והסעות</t>
  </si>
  <si>
    <t>החזר נסיעות ל 20 מורים 20$</t>
  </si>
  <si>
    <t>ארוחות וכיבוד ל 20 מורים ( $10 א.בוקר, $25 א.צהריים, $8 כיבוד)</t>
  </si>
  <si>
    <t>בהגשה עם אותן עליות רק ל 120 איש במקום 75</t>
  </si>
  <si>
    <t>חומרים חינוכיים לתלמידים 290$  לכיתה ( חומרי לימוד)</t>
  </si>
  <si>
    <t>הוצאות מנהליות (שכ"ד, מחשוב, תקשורת, צרכי משרד וכיו"ב) עבור שני משרדים</t>
  </si>
  <si>
    <t>* רכז בחצי משרה החל מ-01.2017</t>
  </si>
  <si>
    <t xml:space="preserve"> שליח נייד  </t>
  </si>
  <si>
    <t xml:space="preserve"> שליח נייד </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</si>
</sst>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 #,##0.00_ ;_ * \-#,##0.00_ ;_ * &quot;-&quot;??_ ;_ @_ "/>
    <numFmt numFmtId="164" formatCode="_(&quot;$&quot;* #,##0.00_);_(&quot;$&quot;* \(#,##0.00\);_(&quot;$&quot;* &quot;-&quot;??_);_(@_)"/>
    <numFmt numFmtId="165" formatCode="_(* #,##0.00_);_(* \(#,##0.00\);_(* &quot;-&quot;??_);_(@_)"/>
    <numFmt numFmtId="166" formatCode="_ * #,##0_ ;_ * \-#,##0_ ;_ * &quot;-&quot;??_ ;_ @_ "/>
    <numFmt numFmtId="167" formatCode="_ [$₪-40D]\ * #,##0_ ;_ [$₪-40D]\ * \-#,##0_ ;_ [$₪-40D]\ * &quot;-&quot;??_ ;_ @_ "/>
    <numFmt numFmtId="168" formatCode="_ [$₪-40D]\ * #,##0.0000_ ;_ [$₪-40D]\ * \-#,##0.0000_ ;_ [$₪-40D]\ * &quot;-&quot;??_ ;_ @_ "/>
    <numFmt numFmtId="169" formatCode="_ [$₪-40D]\ * #,##0.00_ ;_ [$₪-40D]\ * \-#,##0.00_ ;_ [$₪-40D]\ * &quot;-&quot;??_ ;_ @_ "/>
    <numFmt numFmtId="170" formatCode="_(* #,##0_);_(* \(#,##0\);_(* &quot;-&quot;??_);_(@_)"/>
    <numFmt numFmtId="171" formatCode="0.0%"/>
    <numFmt numFmtId="172" formatCode="_ * #,##0.000_ ;_ * \-#,##0.000_ ;_ * &quot;-&quot;???_ ;_ @_ "/>
    <numFmt numFmtId="173" formatCode="_ * #,##0.0_ ;_ * \-#,##0.0_ ;_ * &quot;-&quot;?_ ;_ @_ "/>
    <numFmt numFmtId="174" formatCode="_ &quot;₪&quot;\ * #,##0_ ;_ &quot;₪&quot;\ * \-#,##0_ ;_ &quot;₪&quot;\ * &quot;-&quot;??_ ;_ @_ "/>
    <numFmt numFmtId="175" formatCode="#,##0_ ;[Red]\-#,##0\ "/>
    <numFmt numFmtId="176" formatCode="_(* #,##0.0_);_(* \(#,##0.0\);_(* &quot;-&quot;?_);_(@_)"/>
    <numFmt numFmtId="177" formatCode="_-[$$-409]* #,##0_ ;_-[$$-409]* \-#,##0\ ;_-[$$-409]* &quot;-&quot;??_ ;_-@_ "/>
    <numFmt numFmtId="178" formatCode="_ * #,##0.0_ ;_ * \-#,##0.0_ ;_ * &quot;-&quot;??_ ;_ @_ "/>
    <numFmt numFmtId="179" formatCode="_(* #,##0.0_);_(* \(#,##0.0\);_(* &quot;-&quot;??_);_(@_)"/>
    <numFmt numFmtId="180" formatCode="#,##0.00_ ;[Red]\-#,##0.00\ "/>
  </numFmts>
  <fonts count="93" x14ac:knownFonts="1">
    <font>
      <sz val="11"/>
      <color theme="1"/>
      <name val="Arial"/>
      <family val="2"/>
      <charset val="177"/>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charset val="177"/>
      <scheme val="minor"/>
    </font>
    <font>
      <b/>
      <sz val="14"/>
      <color theme="1"/>
      <name val="Arial"/>
      <family val="2"/>
      <scheme val="minor"/>
    </font>
    <font>
      <b/>
      <sz val="11"/>
      <name val="Arial"/>
      <family val="2"/>
      <scheme val="minor"/>
    </font>
    <font>
      <b/>
      <sz val="11"/>
      <color theme="1"/>
      <name val="Arial"/>
      <family val="2"/>
      <scheme val="minor"/>
    </font>
    <font>
      <b/>
      <sz val="8"/>
      <color theme="1"/>
      <name val="Tahoma"/>
      <family val="2"/>
    </font>
    <font>
      <sz val="11"/>
      <color theme="1"/>
      <name val="Arial"/>
      <family val="2"/>
      <scheme val="minor"/>
    </font>
    <font>
      <b/>
      <sz val="11"/>
      <name val="Arial"/>
      <family val="2"/>
      <charset val="177"/>
      <scheme val="minor"/>
    </font>
    <font>
      <b/>
      <sz val="11"/>
      <name val="Tahoma"/>
      <family val="2"/>
    </font>
    <font>
      <sz val="10"/>
      <name val="Arial"/>
      <family val="2"/>
    </font>
    <font>
      <b/>
      <sz val="11"/>
      <color indexed="8"/>
      <name val="Arial"/>
      <family val="2"/>
    </font>
    <font>
      <b/>
      <sz val="11"/>
      <color rgb="FFFF0000"/>
      <name val="Arial"/>
      <family val="2"/>
    </font>
    <font>
      <sz val="11"/>
      <color rgb="FFFF0000"/>
      <name val="Arial"/>
      <family val="2"/>
    </font>
    <font>
      <b/>
      <sz val="10"/>
      <color indexed="8"/>
      <name val="Arial"/>
      <family val="2"/>
    </font>
    <font>
      <b/>
      <sz val="11"/>
      <name val="Arial"/>
      <family val="2"/>
    </font>
    <font>
      <sz val="10"/>
      <name val="Arial"/>
      <family val="2"/>
      <charset val="177"/>
    </font>
    <font>
      <sz val="11"/>
      <color indexed="8"/>
      <name val="Arial"/>
      <family val="2"/>
      <charset val="177"/>
    </font>
    <font>
      <sz val="11"/>
      <name val="Arial"/>
      <family val="2"/>
    </font>
    <font>
      <sz val="11"/>
      <color indexed="8"/>
      <name val="Arial"/>
      <family val="2"/>
    </font>
    <font>
      <sz val="10"/>
      <color indexed="8"/>
      <name val="Arial"/>
      <family val="2"/>
    </font>
    <font>
      <sz val="11"/>
      <color rgb="FF000000"/>
      <name val="Arial"/>
      <family val="2"/>
    </font>
    <font>
      <b/>
      <sz val="14"/>
      <color indexed="8"/>
      <name val="Arial"/>
      <family val="2"/>
    </font>
    <font>
      <b/>
      <sz val="11"/>
      <color rgb="FF000000"/>
      <name val="Arial"/>
      <family val="2"/>
    </font>
    <font>
      <b/>
      <sz val="12"/>
      <color theme="1"/>
      <name val="Arial"/>
      <family val="2"/>
      <scheme val="minor"/>
    </font>
    <font>
      <sz val="10"/>
      <color theme="1"/>
      <name val="Arial"/>
      <family val="2"/>
      <charset val="177"/>
      <scheme val="minor"/>
    </font>
    <font>
      <b/>
      <sz val="10"/>
      <color theme="1"/>
      <name val="Arial"/>
      <family val="2"/>
      <scheme val="minor"/>
    </font>
    <font>
      <sz val="11"/>
      <color rgb="FF000000"/>
      <name val="Arial"/>
      <family val="2"/>
      <scheme val="minor"/>
    </font>
    <font>
      <sz val="9"/>
      <color rgb="FF000000"/>
      <name val="Arial"/>
      <family val="2"/>
      <scheme val="minor"/>
    </font>
    <font>
      <sz val="9"/>
      <color theme="1"/>
      <name val="Arial"/>
      <family val="2"/>
      <scheme val="minor"/>
    </font>
    <font>
      <sz val="10"/>
      <color theme="1"/>
      <name val="Arial"/>
      <family val="2"/>
      <scheme val="minor"/>
    </font>
    <font>
      <sz val="10"/>
      <color rgb="FF000000"/>
      <name val="Arial"/>
      <family val="2"/>
      <scheme val="minor"/>
    </font>
    <font>
      <sz val="10"/>
      <color rgb="FF000000"/>
      <name val="Arial"/>
      <family val="2"/>
    </font>
    <font>
      <b/>
      <sz val="10"/>
      <color rgb="FF000000"/>
      <name val="Arial"/>
      <family val="2"/>
      <scheme val="minor"/>
    </font>
    <font>
      <b/>
      <sz val="10"/>
      <color rgb="FF000000"/>
      <name val="Arial"/>
      <family val="2"/>
    </font>
    <font>
      <sz val="10"/>
      <color theme="1"/>
      <name val="Arial"/>
      <family val="2"/>
    </font>
    <font>
      <sz val="11"/>
      <color theme="1"/>
      <name val="Arial"/>
      <family val="2"/>
    </font>
    <font>
      <sz val="10"/>
      <color indexed="8"/>
      <name val="Arial"/>
      <family val="2"/>
      <charset val="177"/>
    </font>
    <font>
      <b/>
      <sz val="9"/>
      <color indexed="81"/>
      <name val="Tahoma"/>
      <family val="2"/>
    </font>
    <font>
      <sz val="9"/>
      <color indexed="81"/>
      <name val="Tahoma"/>
      <family val="2"/>
    </font>
    <font>
      <sz val="8"/>
      <color theme="1"/>
      <name val="Arial"/>
      <family val="2"/>
      <charset val="177"/>
      <scheme val="minor"/>
    </font>
    <font>
      <sz val="11"/>
      <name val="Arial"/>
      <family val="2"/>
      <scheme val="minor"/>
    </font>
    <font>
      <sz val="10"/>
      <name val="Arial"/>
      <family val="2"/>
      <charset val="177"/>
      <scheme val="minor"/>
    </font>
    <font>
      <b/>
      <sz val="10"/>
      <name val="Arial"/>
      <family val="2"/>
    </font>
    <font>
      <sz val="10"/>
      <name val="Arial"/>
      <family val="2"/>
      <scheme val="minor"/>
    </font>
    <font>
      <b/>
      <sz val="10"/>
      <name val="Arial"/>
      <family val="2"/>
      <scheme val="minor"/>
    </font>
    <font>
      <b/>
      <sz val="10"/>
      <color theme="1"/>
      <name val="Arial"/>
      <family val="2"/>
      <charset val="177"/>
      <scheme val="minor"/>
    </font>
    <font>
      <b/>
      <sz val="10"/>
      <name val="Arial"/>
      <family val="2"/>
      <charset val="177"/>
      <scheme val="minor"/>
    </font>
    <font>
      <b/>
      <sz val="10"/>
      <color rgb="FFFF0000"/>
      <name val="Arial"/>
      <family val="2"/>
      <charset val="177"/>
      <scheme val="minor"/>
    </font>
    <font>
      <b/>
      <sz val="10"/>
      <name val="Arial"/>
      <family val="2"/>
      <charset val="177"/>
    </font>
    <font>
      <b/>
      <sz val="10"/>
      <color indexed="8"/>
      <name val="Arial"/>
      <family val="2"/>
      <charset val="177"/>
    </font>
    <font>
      <b/>
      <sz val="12"/>
      <color indexed="8"/>
      <name val="Arial"/>
      <family val="2"/>
    </font>
    <font>
      <sz val="11"/>
      <color rgb="FF000000"/>
      <name val="Calibri"/>
      <family val="2"/>
    </font>
    <font>
      <b/>
      <sz val="11"/>
      <color theme="1"/>
      <name val="Arial"/>
      <family val="2"/>
    </font>
    <font>
      <b/>
      <sz val="11"/>
      <color theme="0"/>
      <name val="Arial"/>
      <family val="2"/>
      <scheme val="minor"/>
    </font>
    <font>
      <sz val="11"/>
      <color theme="0"/>
      <name val="Arial"/>
      <family val="2"/>
      <scheme val="minor"/>
    </font>
    <font>
      <b/>
      <sz val="8"/>
      <color theme="1"/>
      <name val="Arial"/>
      <family val="2"/>
      <scheme val="minor"/>
    </font>
    <font>
      <b/>
      <sz val="10"/>
      <color rgb="FF002060"/>
      <name val="Arial"/>
      <family val="2"/>
      <scheme val="minor"/>
    </font>
    <font>
      <b/>
      <sz val="11"/>
      <color rgb="FF002060"/>
      <name val="Arial"/>
      <family val="2"/>
      <scheme val="minor"/>
    </font>
    <font>
      <b/>
      <sz val="13"/>
      <color theme="1"/>
      <name val="Arial"/>
      <family val="2"/>
    </font>
    <font>
      <b/>
      <sz val="10"/>
      <color theme="1"/>
      <name val="Arial"/>
      <family val="2"/>
    </font>
    <font>
      <b/>
      <sz val="10"/>
      <color rgb="FFFF0000"/>
      <name val="Arial"/>
      <family val="2"/>
    </font>
    <font>
      <b/>
      <sz val="10"/>
      <color rgb="FF002060"/>
      <name val="Arial"/>
      <family val="2"/>
      <charset val="177"/>
      <scheme val="minor"/>
    </font>
    <font>
      <sz val="10"/>
      <color theme="1"/>
      <name val="Arial"/>
      <family val="2"/>
      <charset val="177"/>
    </font>
    <font>
      <sz val="10"/>
      <color rgb="FF002060"/>
      <name val="Arial"/>
      <family val="2"/>
      <charset val="177"/>
      <scheme val="minor"/>
    </font>
    <font>
      <b/>
      <sz val="10"/>
      <color rgb="FF002060"/>
      <name val="Arial"/>
      <family val="2"/>
      <charset val="177"/>
    </font>
    <font>
      <sz val="10"/>
      <color rgb="FFFF0000"/>
      <name val="Arial"/>
      <family val="2"/>
    </font>
    <font>
      <b/>
      <sz val="10"/>
      <color theme="0"/>
      <name val="Arial"/>
      <family val="2"/>
      <scheme val="minor"/>
    </font>
    <font>
      <sz val="10"/>
      <color theme="4" tint="-0.499984740745262"/>
      <name val="Arial"/>
      <family val="2"/>
      <scheme val="minor"/>
    </font>
    <font>
      <b/>
      <u/>
      <sz val="10"/>
      <color theme="1"/>
      <name val="Arial"/>
      <family val="2"/>
      <scheme val="minor"/>
    </font>
    <font>
      <sz val="10"/>
      <color rgb="FFFF0000"/>
      <name val="Arial"/>
      <family val="2"/>
      <charset val="177"/>
    </font>
    <font>
      <b/>
      <sz val="10"/>
      <color theme="5" tint="-0.249977111117893"/>
      <name val="Arial"/>
      <family val="2"/>
      <charset val="177"/>
    </font>
    <font>
      <b/>
      <sz val="10"/>
      <color theme="1"/>
      <name val="Arial"/>
      <family val="2"/>
      <charset val="177"/>
    </font>
    <font>
      <sz val="10"/>
      <color theme="5" tint="-0.249977111117893"/>
      <name val="Arial"/>
      <family val="2"/>
      <charset val="177"/>
      <scheme val="minor"/>
    </font>
    <font>
      <strike/>
      <sz val="10"/>
      <name val="Arial"/>
      <family val="2"/>
      <charset val="177"/>
      <scheme val="minor"/>
    </font>
    <font>
      <strike/>
      <sz val="10"/>
      <color theme="1"/>
      <name val="Arial"/>
      <family val="2"/>
      <charset val="177"/>
      <scheme val="minor"/>
    </font>
    <font>
      <sz val="10"/>
      <color rgb="FF002060"/>
      <name val="Arial"/>
      <family val="2"/>
      <charset val="177"/>
    </font>
    <font>
      <sz val="10"/>
      <color indexed="8"/>
      <name val="Arial"/>
      <family val="2"/>
      <charset val="177"/>
      <scheme val="minor"/>
    </font>
    <font>
      <b/>
      <sz val="10"/>
      <color rgb="FFFF0000"/>
      <name val="Arial"/>
      <family val="2"/>
      <charset val="177"/>
    </font>
    <font>
      <sz val="10"/>
      <color rgb="FF000000"/>
      <name val="Arial"/>
      <family val="2"/>
      <charset val="177"/>
      <scheme val="minor"/>
    </font>
    <font>
      <sz val="8"/>
      <color theme="1"/>
      <name val="Arial"/>
      <family val="2"/>
      <scheme val="minor"/>
    </font>
    <font>
      <b/>
      <sz val="12"/>
      <color rgb="FF222222"/>
      <name val="Arial"/>
      <family val="2"/>
      <scheme val="minor"/>
    </font>
    <font>
      <sz val="10"/>
      <color theme="0"/>
      <name val="Arial"/>
      <family val="2"/>
      <scheme val="minor"/>
    </font>
    <font>
      <sz val="10"/>
      <color theme="0"/>
      <name val="Arial"/>
      <family val="2"/>
    </font>
  </fonts>
  <fills count="28">
    <fill>
      <patternFill patternType="none"/>
    </fill>
    <fill>
      <patternFill patternType="gray125"/>
    </fill>
    <fill>
      <patternFill patternType="solid">
        <fgColor theme="6" tint="0.79998168889431442"/>
        <bgColor indexed="64"/>
      </patternFill>
    </fill>
    <fill>
      <patternFill patternType="solid">
        <fgColor theme="3" tint="0.79998168889431442"/>
        <bgColor indexed="64"/>
      </patternFill>
    </fill>
    <fill>
      <patternFill patternType="solid">
        <fgColor rgb="FFC0C0C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FF0000"/>
        <bgColor indexed="64"/>
      </patternFill>
    </fill>
    <fill>
      <patternFill patternType="solid">
        <fgColor rgb="FFFFFFFF"/>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4" tint="-0.249977111117893"/>
        <bgColor indexed="64"/>
      </patternFill>
    </fill>
    <fill>
      <patternFill patternType="solid">
        <fgColor theme="2" tint="-0.249977111117893"/>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rgb="FF00B050"/>
        <bgColor indexed="64"/>
      </patternFill>
    </fill>
  </fills>
  <borders count="78">
    <border>
      <left/>
      <right/>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auto="1"/>
      </top>
      <bottom style="medium">
        <color indexed="64"/>
      </bottom>
      <diagonal/>
    </border>
    <border>
      <left style="thin">
        <color auto="1"/>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auto="1"/>
      </bottom>
      <diagonal/>
    </border>
    <border>
      <left/>
      <right style="thin">
        <color indexed="64"/>
      </right>
      <top style="thin">
        <color indexed="64"/>
      </top>
      <bottom style="medium">
        <color indexed="64"/>
      </bottom>
      <diagonal/>
    </border>
    <border>
      <left/>
      <right style="thin">
        <color auto="1"/>
      </right>
      <top style="medium">
        <color auto="1"/>
      </top>
      <bottom style="medium">
        <color indexed="64"/>
      </bottom>
      <diagonal/>
    </border>
    <border>
      <left style="medium">
        <color auto="1"/>
      </left>
      <right style="thin">
        <color auto="1"/>
      </right>
      <top/>
      <bottom style="medium">
        <color auto="1"/>
      </bottom>
      <diagonal/>
    </border>
    <border>
      <left/>
      <right/>
      <top style="thin">
        <color auto="1"/>
      </top>
      <bottom style="medium">
        <color auto="1"/>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style="medium">
        <color indexed="64"/>
      </right>
      <top style="thin">
        <color indexed="64"/>
      </top>
      <bottom style="medium">
        <color indexed="64"/>
      </bottom>
      <diagonal/>
    </border>
    <border>
      <left/>
      <right/>
      <top/>
      <bottom style="medium">
        <color auto="1"/>
      </bottom>
      <diagonal/>
    </border>
    <border>
      <left/>
      <right style="thin">
        <color indexed="64"/>
      </right>
      <top/>
      <bottom style="medium">
        <color indexed="64"/>
      </bottom>
      <diagonal/>
    </border>
    <border>
      <left/>
      <right style="medium">
        <color auto="1"/>
      </right>
      <top style="medium">
        <color auto="1"/>
      </top>
      <bottom style="thin">
        <color auto="1"/>
      </bottom>
      <diagonal/>
    </border>
    <border>
      <left/>
      <right style="thin">
        <color indexed="64"/>
      </right>
      <top style="thin">
        <color indexed="64"/>
      </top>
      <bottom/>
      <diagonal/>
    </border>
    <border>
      <left/>
      <right/>
      <top style="thin">
        <color indexed="64"/>
      </top>
      <bottom style="thin">
        <color indexed="64"/>
      </bottom>
      <diagonal/>
    </border>
    <border>
      <left/>
      <right style="medium">
        <color auto="1"/>
      </right>
      <top style="thin">
        <color auto="1"/>
      </top>
      <bottom style="thin">
        <color auto="1"/>
      </bottom>
      <diagonal/>
    </border>
    <border>
      <left style="medium">
        <color indexed="64"/>
      </left>
      <right style="medium">
        <color indexed="64"/>
      </right>
      <top style="thin">
        <color auto="1"/>
      </top>
      <bottom style="thin">
        <color auto="1"/>
      </bottom>
      <diagonal/>
    </border>
    <border>
      <left/>
      <right style="medium">
        <color auto="1"/>
      </right>
      <top style="thin">
        <color auto="1"/>
      </top>
      <bottom/>
      <diagonal/>
    </border>
    <border>
      <left/>
      <right/>
      <top style="medium">
        <color indexed="64"/>
      </top>
      <bottom/>
      <diagonal/>
    </border>
    <border>
      <left/>
      <right style="medium">
        <color indexed="64"/>
      </right>
      <top style="medium">
        <color indexed="64"/>
      </top>
      <bottom/>
      <diagonal/>
    </border>
    <border>
      <left/>
      <right style="medium">
        <color auto="1"/>
      </right>
      <top/>
      <bottom style="thin">
        <color auto="1"/>
      </bottom>
      <diagonal/>
    </border>
    <border>
      <left style="medium">
        <color indexed="64"/>
      </left>
      <right style="medium">
        <color indexed="64"/>
      </right>
      <top/>
      <bottom style="thin">
        <color indexed="64"/>
      </bottom>
      <diagonal/>
    </border>
    <border>
      <left/>
      <right/>
      <top/>
      <bottom style="thin">
        <color auto="1"/>
      </bottom>
      <diagonal/>
    </border>
    <border>
      <left style="medium">
        <color indexed="64"/>
      </left>
      <right style="medium">
        <color indexed="64"/>
      </right>
      <top/>
      <bottom style="medium">
        <color indexed="64"/>
      </bottom>
      <diagonal/>
    </border>
    <border>
      <left style="thin">
        <color indexed="64"/>
      </left>
      <right/>
      <top/>
      <bottom/>
      <diagonal/>
    </border>
    <border>
      <left/>
      <right style="medium">
        <color indexed="64"/>
      </right>
      <top/>
      <bottom/>
      <diagonal/>
    </border>
    <border>
      <left/>
      <right/>
      <top style="thin">
        <color auto="1"/>
      </top>
      <bottom/>
      <diagonal/>
    </border>
    <border>
      <left style="thin">
        <color auto="1"/>
      </left>
      <right style="medium">
        <color indexed="64"/>
      </right>
      <top/>
      <bottom style="medium">
        <color indexed="64"/>
      </bottom>
      <diagonal/>
    </border>
    <border>
      <left/>
      <right style="thin">
        <color indexed="64"/>
      </right>
      <top/>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auto="1"/>
      </left>
      <right/>
      <top/>
      <bottom style="thin">
        <color auto="1"/>
      </bottom>
      <diagonal/>
    </border>
    <border>
      <left style="medium">
        <color indexed="64"/>
      </left>
      <right/>
      <top style="medium">
        <color indexed="64"/>
      </top>
      <bottom/>
      <diagonal/>
    </border>
    <border>
      <left/>
      <right style="thin">
        <color auto="1"/>
      </right>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11">
    <xf numFmtId="0" fontId="0" fillId="0" borderId="0"/>
    <xf numFmtId="43" fontId="11" fillId="0" borderId="0" applyFont="0" applyFill="0" applyBorder="0" applyAlignment="0" applyProtection="0"/>
    <xf numFmtId="9" fontId="11" fillId="0" borderId="0" applyFont="0" applyFill="0" applyBorder="0" applyAlignment="0" applyProtection="0"/>
    <xf numFmtId="0" fontId="19" fillId="0" borderId="0"/>
    <xf numFmtId="164" fontId="11" fillId="0" borderId="0" applyFont="0" applyFill="0" applyBorder="0" applyAlignment="0" applyProtection="0"/>
    <xf numFmtId="165" fontId="26"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5" fillId="0" borderId="0"/>
    <xf numFmtId="165" fontId="5" fillId="0" borderId="0" applyFont="0" applyFill="0" applyBorder="0" applyAlignment="0" applyProtection="0"/>
  </cellStyleXfs>
  <cellXfs count="3366">
    <xf numFmtId="0" fontId="0" fillId="0" borderId="0" xfId="0"/>
    <xf numFmtId="0" fontId="0" fillId="5" borderId="10" xfId="0" applyFill="1" applyBorder="1"/>
    <xf numFmtId="166" fontId="0" fillId="5" borderId="10" xfId="1" applyNumberFormat="1" applyFont="1" applyFill="1" applyBorder="1"/>
    <xf numFmtId="166" fontId="0" fillId="5" borderId="11" xfId="1" applyNumberFormat="1" applyFont="1" applyFill="1" applyBorder="1"/>
    <xf numFmtId="166" fontId="0" fillId="0" borderId="0" xfId="1" applyNumberFormat="1" applyFont="1"/>
    <xf numFmtId="0" fontId="0" fillId="3" borderId="10" xfId="0" applyFill="1" applyBorder="1"/>
    <xf numFmtId="0" fontId="0" fillId="3" borderId="5" xfId="0" applyFill="1" applyBorder="1"/>
    <xf numFmtId="0" fontId="0" fillId="3" borderId="22" xfId="0" applyFill="1" applyBorder="1"/>
    <xf numFmtId="0" fontId="0" fillId="5" borderId="10" xfId="0" applyFill="1" applyBorder="1" applyAlignment="1">
      <alignment vertical="center"/>
    </xf>
    <xf numFmtId="0" fontId="14" fillId="0" borderId="0" xfId="0" applyFont="1"/>
    <xf numFmtId="166" fontId="0" fillId="0" borderId="0" xfId="0" applyNumberFormat="1"/>
    <xf numFmtId="0" fontId="0" fillId="3" borderId="10" xfId="0" applyFill="1" applyBorder="1" applyAlignment="1">
      <alignment vertical="center"/>
    </xf>
    <xf numFmtId="0" fontId="16" fillId="3" borderId="10" xfId="0" applyFont="1" applyFill="1" applyBorder="1"/>
    <xf numFmtId="0" fontId="0" fillId="2" borderId="10" xfId="0" applyFill="1" applyBorder="1" applyAlignment="1">
      <alignment vertical="center"/>
    </xf>
    <xf numFmtId="0" fontId="0" fillId="2" borderId="10" xfId="0" applyFill="1" applyBorder="1"/>
    <xf numFmtId="0" fontId="0" fillId="2" borderId="5" xfId="0" applyFill="1" applyBorder="1"/>
    <xf numFmtId="166" fontId="0" fillId="2" borderId="6" xfId="1" applyNumberFormat="1" applyFont="1" applyFill="1" applyBorder="1"/>
    <xf numFmtId="166" fontId="0" fillId="2" borderId="11" xfId="1" applyNumberFormat="1" applyFont="1" applyFill="1" applyBorder="1"/>
    <xf numFmtId="0" fontId="17" fillId="0" borderId="0" xfId="0" applyFont="1" applyAlignment="1">
      <alignment vertical="center" wrapText="1"/>
    </xf>
    <xf numFmtId="0" fontId="0" fillId="5" borderId="5" xfId="0" applyFill="1" applyBorder="1"/>
    <xf numFmtId="166" fontId="14" fillId="2" borderId="23" xfId="1" applyNumberFormat="1" applyFont="1" applyFill="1" applyBorder="1"/>
    <xf numFmtId="0" fontId="18" fillId="4" borderId="18" xfId="0" applyFont="1" applyFill="1" applyBorder="1" applyAlignment="1">
      <alignment horizontal="center" vertical="center" wrapText="1" readingOrder="2"/>
    </xf>
    <xf numFmtId="0" fontId="15" fillId="4" borderId="3" xfId="0" applyFont="1" applyFill="1" applyBorder="1" applyAlignment="1">
      <alignment horizontal="center" vertical="center" wrapText="1" readingOrder="2"/>
    </xf>
    <xf numFmtId="0" fontId="0" fillId="11" borderId="10" xfId="0" applyFill="1" applyBorder="1"/>
    <xf numFmtId="9" fontId="0" fillId="0" borderId="0" xfId="2" applyFont="1"/>
    <xf numFmtId="166" fontId="0" fillId="11" borderId="14" xfId="1" applyNumberFormat="1" applyFont="1" applyFill="1" applyBorder="1"/>
    <xf numFmtId="0" fontId="0" fillId="11" borderId="10" xfId="0" applyFill="1" applyBorder="1" applyAlignment="1">
      <alignment vertical="center"/>
    </xf>
    <xf numFmtId="166" fontId="14" fillId="11" borderId="23" xfId="1" applyNumberFormat="1" applyFont="1" applyFill="1" applyBorder="1"/>
    <xf numFmtId="166" fontId="0" fillId="5" borderId="14" xfId="1" applyNumberFormat="1" applyFont="1" applyFill="1" applyBorder="1"/>
    <xf numFmtId="166" fontId="0" fillId="5" borderId="5" xfId="1" applyNumberFormat="1" applyFont="1" applyFill="1" applyBorder="1"/>
    <xf numFmtId="166" fontId="0" fillId="2" borderId="44" xfId="1" applyNumberFormat="1" applyFont="1" applyFill="1" applyBorder="1"/>
    <xf numFmtId="166" fontId="14" fillId="2" borderId="38" xfId="1" applyNumberFormat="1" applyFont="1" applyFill="1" applyBorder="1"/>
    <xf numFmtId="166" fontId="14" fillId="11" borderId="38" xfId="1" applyNumberFormat="1" applyFont="1" applyFill="1" applyBorder="1"/>
    <xf numFmtId="166" fontId="14" fillId="5" borderId="23" xfId="1" applyNumberFormat="1" applyFont="1" applyFill="1" applyBorder="1"/>
    <xf numFmtId="166" fontId="0" fillId="2" borderId="10" xfId="1" applyNumberFormat="1" applyFont="1" applyFill="1" applyBorder="1"/>
    <xf numFmtId="0" fontId="0" fillId="2" borderId="10" xfId="0" applyFill="1" applyBorder="1" applyAlignment="1">
      <alignment horizontal="right"/>
    </xf>
    <xf numFmtId="166" fontId="16" fillId="3" borderId="10" xfId="1" applyNumberFormat="1" applyFont="1" applyFill="1" applyBorder="1" applyAlignment="1"/>
    <xf numFmtId="166" fontId="14" fillId="2" borderId="22" xfId="1" applyNumberFormat="1" applyFont="1" applyFill="1" applyBorder="1"/>
    <xf numFmtId="0" fontId="13" fillId="2" borderId="10" xfId="0" applyFont="1" applyFill="1" applyBorder="1" applyAlignment="1">
      <alignment horizontal="center" vertical="center" wrapText="1"/>
    </xf>
    <xf numFmtId="0" fontId="0" fillId="11" borderId="5" xfId="0" applyFill="1" applyBorder="1" applyAlignment="1">
      <alignment vertical="center"/>
    </xf>
    <xf numFmtId="0" fontId="0" fillId="11" borderId="5" xfId="0" applyFill="1" applyBorder="1" applyAlignment="1">
      <alignment horizontal="center" vertical="center" wrapText="1"/>
    </xf>
    <xf numFmtId="0" fontId="0" fillId="11" borderId="5" xfId="0" applyFill="1" applyBorder="1"/>
    <xf numFmtId="166" fontId="16" fillId="2" borderId="5" xfId="1" applyNumberFormat="1" applyFont="1" applyFill="1" applyBorder="1"/>
    <xf numFmtId="166" fontId="0" fillId="2" borderId="11" xfId="1" applyNumberFormat="1" applyFont="1" applyFill="1" applyBorder="1" applyAlignment="1">
      <alignment vertical="center"/>
    </xf>
    <xf numFmtId="0" fontId="0" fillId="0" borderId="0" xfId="0" applyBorder="1"/>
    <xf numFmtId="0" fontId="0" fillId="2" borderId="9" xfId="0" applyFill="1" applyBorder="1"/>
    <xf numFmtId="167" fontId="0" fillId="5" borderId="10" xfId="1" applyNumberFormat="1" applyFont="1" applyFill="1" applyBorder="1"/>
    <xf numFmtId="167" fontId="16" fillId="3" borderId="10" xfId="1" applyNumberFormat="1" applyFont="1" applyFill="1" applyBorder="1" applyAlignment="1"/>
    <xf numFmtId="167" fontId="0" fillId="3" borderId="10" xfId="1" applyNumberFormat="1" applyFont="1" applyFill="1" applyBorder="1"/>
    <xf numFmtId="167" fontId="0" fillId="2" borderId="10" xfId="1" applyNumberFormat="1" applyFont="1" applyFill="1" applyBorder="1"/>
    <xf numFmtId="167" fontId="0" fillId="2" borderId="10" xfId="1" applyNumberFormat="1" applyFont="1" applyFill="1" applyBorder="1" applyAlignment="1">
      <alignment vertical="center"/>
    </xf>
    <xf numFmtId="167" fontId="14" fillId="2" borderId="22" xfId="1" applyNumberFormat="1" applyFont="1" applyFill="1" applyBorder="1"/>
    <xf numFmtId="167" fontId="0" fillId="0" borderId="0" xfId="2" applyNumberFormat="1" applyFont="1"/>
    <xf numFmtId="167" fontId="0" fillId="0" borderId="0" xfId="0" applyNumberFormat="1"/>
    <xf numFmtId="167" fontId="15" fillId="4" borderId="16" xfId="0" applyNumberFormat="1" applyFont="1" applyFill="1" applyBorder="1" applyAlignment="1">
      <alignment horizontal="center" vertical="center" wrapText="1" readingOrder="2"/>
    </xf>
    <xf numFmtId="167" fontId="0" fillId="0" borderId="10" xfId="1" applyNumberFormat="1" applyFont="1" applyFill="1" applyBorder="1"/>
    <xf numFmtId="0" fontId="14" fillId="2" borderId="22" xfId="0" applyFont="1" applyFill="1" applyBorder="1" applyAlignment="1">
      <alignment horizontal="center"/>
    </xf>
    <xf numFmtId="166" fontId="0" fillId="11" borderId="24" xfId="1" applyNumberFormat="1" applyFont="1" applyFill="1" applyBorder="1"/>
    <xf numFmtId="166" fontId="16" fillId="2" borderId="20" xfId="1" applyNumberFormat="1" applyFont="1" applyFill="1" applyBorder="1"/>
    <xf numFmtId="166" fontId="14" fillId="2" borderId="39" xfId="1" applyNumberFormat="1" applyFont="1" applyFill="1" applyBorder="1"/>
    <xf numFmtId="0" fontId="0" fillId="0" borderId="0" xfId="0" applyAlignment="1">
      <alignment horizontal="center" vertical="center"/>
    </xf>
    <xf numFmtId="166" fontId="0" fillId="11" borderId="49" xfId="1" applyNumberFormat="1" applyFont="1" applyFill="1" applyBorder="1"/>
    <xf numFmtId="166" fontId="0" fillId="11" borderId="54" xfId="1" applyNumberFormat="1" applyFont="1" applyFill="1" applyBorder="1"/>
    <xf numFmtId="167" fontId="0" fillId="11" borderId="10" xfId="1" applyNumberFormat="1" applyFont="1" applyFill="1" applyBorder="1"/>
    <xf numFmtId="167" fontId="0" fillId="11" borderId="5" xfId="1" applyNumberFormat="1" applyFont="1" applyFill="1" applyBorder="1"/>
    <xf numFmtId="166" fontId="0" fillId="2" borderId="41" xfId="1" applyNumberFormat="1" applyFont="1" applyFill="1" applyBorder="1"/>
    <xf numFmtId="166" fontId="0" fillId="2" borderId="44" xfId="1" applyNumberFormat="1" applyFont="1" applyFill="1" applyBorder="1" applyAlignment="1">
      <alignment vertical="center"/>
    </xf>
    <xf numFmtId="0" fontId="14" fillId="0" borderId="9" xfId="0" applyFont="1" applyBorder="1"/>
    <xf numFmtId="0" fontId="0" fillId="0" borderId="10" xfId="0" applyBorder="1"/>
    <xf numFmtId="0" fontId="14" fillId="0" borderId="25" xfId="0" applyFont="1" applyBorder="1"/>
    <xf numFmtId="0" fontId="0" fillId="0" borderId="22" xfId="0" applyBorder="1"/>
    <xf numFmtId="166" fontId="0" fillId="5" borderId="12" xfId="1" applyNumberFormat="1" applyFont="1" applyFill="1" applyBorder="1"/>
    <xf numFmtId="0" fontId="0" fillId="2" borderId="8" xfId="0" applyFill="1" applyBorder="1"/>
    <xf numFmtId="166" fontId="0" fillId="2" borderId="12" xfId="1" applyNumberFormat="1" applyFont="1" applyFill="1" applyBorder="1" applyAlignment="1">
      <alignment vertical="center"/>
    </xf>
    <xf numFmtId="166" fontId="0" fillId="2" borderId="46" xfId="1" applyNumberFormat="1" applyFont="1" applyFill="1" applyBorder="1" applyAlignment="1">
      <alignment vertical="center"/>
    </xf>
    <xf numFmtId="166" fontId="16" fillId="3" borderId="37" xfId="1" applyNumberFormat="1" applyFont="1" applyFill="1" applyBorder="1" applyAlignment="1"/>
    <xf numFmtId="167" fontId="0" fillId="14" borderId="0" xfId="0" applyNumberFormat="1" applyFill="1"/>
    <xf numFmtId="168" fontId="16" fillId="2" borderId="10" xfId="1" applyNumberFormat="1" applyFont="1" applyFill="1" applyBorder="1"/>
    <xf numFmtId="167" fontId="16" fillId="2" borderId="10" xfId="1" applyNumberFormat="1" applyFont="1" applyFill="1" applyBorder="1"/>
    <xf numFmtId="0" fontId="14" fillId="11" borderId="22" xfId="0" applyFont="1" applyFill="1" applyBorder="1" applyAlignment="1">
      <alignment horizontal="center"/>
    </xf>
    <xf numFmtId="0" fontId="0" fillId="2" borderId="10" xfId="0" applyFill="1" applyBorder="1" applyAlignment="1">
      <alignment vertical="center" wrapText="1"/>
    </xf>
    <xf numFmtId="0" fontId="0" fillId="3" borderId="10" xfId="0" applyFill="1" applyBorder="1" applyAlignment="1">
      <alignment horizontal="center" textRotation="255"/>
    </xf>
    <xf numFmtId="0" fontId="0" fillId="2" borderId="21" xfId="0" applyFill="1" applyBorder="1"/>
    <xf numFmtId="0" fontId="14" fillId="5" borderId="10" xfId="0" applyFont="1" applyFill="1" applyBorder="1" applyAlignment="1">
      <alignment horizontal="center" vertical="center"/>
    </xf>
    <xf numFmtId="169" fontId="0" fillId="0" borderId="0" xfId="0" applyNumberFormat="1"/>
    <xf numFmtId="0" fontId="14" fillId="9" borderId="36" xfId="0" applyFont="1" applyFill="1" applyBorder="1" applyAlignment="1">
      <alignment horizontal="center"/>
    </xf>
    <xf numFmtId="0" fontId="17" fillId="2" borderId="15" xfId="0" applyFont="1" applyFill="1" applyBorder="1" applyAlignment="1">
      <alignment horizontal="center" vertical="center" wrapText="1"/>
    </xf>
    <xf numFmtId="0" fontId="14" fillId="2" borderId="16" xfId="0" applyFont="1" applyFill="1" applyBorder="1" applyAlignment="1">
      <alignment horizontal="center"/>
    </xf>
    <xf numFmtId="0" fontId="0" fillId="2" borderId="16" xfId="0" applyFill="1" applyBorder="1"/>
    <xf numFmtId="167" fontId="14" fillId="2" borderId="16" xfId="1" applyNumberFormat="1" applyFont="1" applyFill="1" applyBorder="1"/>
    <xf numFmtId="166" fontId="14" fillId="2" borderId="17" xfId="1" applyNumberFormat="1" applyFont="1" applyFill="1" applyBorder="1"/>
    <xf numFmtId="170" fontId="0" fillId="0" borderId="0" xfId="0" applyNumberFormat="1"/>
    <xf numFmtId="0" fontId="20" fillId="13" borderId="5" xfId="3" applyFont="1" applyFill="1" applyBorder="1" applyAlignment="1">
      <alignment horizontal="right" vertical="center" wrapText="1"/>
    </xf>
    <xf numFmtId="0" fontId="0" fillId="0" borderId="21" xfId="0" applyBorder="1"/>
    <xf numFmtId="0" fontId="14" fillId="6" borderId="22" xfId="0" applyFont="1" applyFill="1" applyBorder="1"/>
    <xf numFmtId="166" fontId="14" fillId="6" borderId="22" xfId="1" applyNumberFormat="1" applyFont="1" applyFill="1" applyBorder="1"/>
    <xf numFmtId="166" fontId="0" fillId="2" borderId="21" xfId="1" applyNumberFormat="1" applyFont="1" applyFill="1" applyBorder="1"/>
    <xf numFmtId="166" fontId="14" fillId="5" borderId="22" xfId="1" applyNumberFormat="1" applyFont="1" applyFill="1" applyBorder="1"/>
    <xf numFmtId="0" fontId="14" fillId="2" borderId="8" xfId="0" applyFont="1" applyFill="1" applyBorder="1"/>
    <xf numFmtId="0" fontId="15" fillId="4" borderId="48" xfId="0" applyFont="1" applyFill="1" applyBorder="1" applyAlignment="1">
      <alignment horizontal="center" vertical="center" wrapText="1" readingOrder="2"/>
    </xf>
    <xf numFmtId="166" fontId="16" fillId="3" borderId="26" xfId="1" applyNumberFormat="1" applyFont="1" applyFill="1" applyBorder="1" applyAlignment="1"/>
    <xf numFmtId="166" fontId="16" fillId="3" borderId="55" xfId="1" applyNumberFormat="1" applyFont="1" applyFill="1" applyBorder="1" applyAlignment="1"/>
    <xf numFmtId="166" fontId="0" fillId="5" borderId="49" xfId="1" applyNumberFormat="1" applyFont="1" applyFill="1" applyBorder="1"/>
    <xf numFmtId="166" fontId="0" fillId="5" borderId="44" xfId="1" applyNumberFormat="1" applyFont="1" applyFill="1" applyBorder="1"/>
    <xf numFmtId="166" fontId="0" fillId="5" borderId="46" xfId="1" applyNumberFormat="1" applyFont="1" applyFill="1" applyBorder="1"/>
    <xf numFmtId="166" fontId="14" fillId="5" borderId="38" xfId="1" applyNumberFormat="1" applyFont="1" applyFill="1" applyBorder="1"/>
    <xf numFmtId="166" fontId="16" fillId="2" borderId="30" xfId="1" applyNumberFormat="1" applyFont="1" applyFill="1" applyBorder="1"/>
    <xf numFmtId="166" fontId="16" fillId="2" borderId="57" xfId="1" applyNumberFormat="1" applyFont="1" applyFill="1" applyBorder="1"/>
    <xf numFmtId="166" fontId="14" fillId="2" borderId="31" xfId="1" applyNumberFormat="1" applyFont="1" applyFill="1" applyBorder="1"/>
    <xf numFmtId="0" fontId="14" fillId="2" borderId="10" xfId="0" applyFont="1" applyFill="1" applyBorder="1" applyAlignment="1">
      <alignment horizontal="center"/>
    </xf>
    <xf numFmtId="166" fontId="16" fillId="3" borderId="11" xfId="1" applyNumberFormat="1" applyFont="1" applyFill="1" applyBorder="1" applyAlignment="1"/>
    <xf numFmtId="167" fontId="0" fillId="11" borderId="11" xfId="1" applyNumberFormat="1" applyFont="1" applyFill="1" applyBorder="1"/>
    <xf numFmtId="166" fontId="16" fillId="2" borderId="11" xfId="1" applyNumberFormat="1" applyFont="1" applyFill="1" applyBorder="1"/>
    <xf numFmtId="0" fontId="18" fillId="4" borderId="15" xfId="0" applyFont="1" applyFill="1" applyBorder="1" applyAlignment="1">
      <alignment horizontal="center" vertical="center" wrapText="1" readingOrder="2"/>
    </xf>
    <xf numFmtId="0" fontId="15" fillId="4" borderId="16" xfId="0" applyFont="1" applyFill="1" applyBorder="1" applyAlignment="1">
      <alignment horizontal="center" vertical="center" wrapText="1" readingOrder="2"/>
    </xf>
    <xf numFmtId="0" fontId="15" fillId="4" borderId="17" xfId="0" applyFont="1" applyFill="1" applyBorder="1" applyAlignment="1">
      <alignment horizontal="center" vertical="center" wrapText="1" readingOrder="2"/>
    </xf>
    <xf numFmtId="0" fontId="0" fillId="3" borderId="5" xfId="0" applyFill="1" applyBorder="1" applyAlignment="1">
      <alignment vertical="center"/>
    </xf>
    <xf numFmtId="0" fontId="0" fillId="3" borderId="5" xfId="0" applyFill="1" applyBorder="1" applyAlignment="1">
      <alignment horizontal="center" vertical="center" wrapText="1"/>
    </xf>
    <xf numFmtId="167" fontId="0" fillId="3" borderId="5" xfId="1" applyNumberFormat="1" applyFont="1" applyFill="1" applyBorder="1"/>
    <xf numFmtId="167" fontId="0" fillId="5" borderId="5" xfId="1" applyNumberFormat="1" applyFont="1" applyFill="1" applyBorder="1"/>
    <xf numFmtId="167" fontId="16" fillId="3" borderId="5" xfId="1" applyNumberFormat="1" applyFont="1" applyFill="1" applyBorder="1" applyAlignment="1"/>
    <xf numFmtId="166" fontId="16" fillId="3" borderId="6" xfId="1" applyNumberFormat="1" applyFont="1" applyFill="1" applyBorder="1" applyAlignment="1"/>
    <xf numFmtId="0" fontId="14" fillId="3" borderId="22" xfId="0" applyFont="1" applyFill="1" applyBorder="1" applyAlignment="1">
      <alignment horizontal="center"/>
    </xf>
    <xf numFmtId="167" fontId="14" fillId="3" borderId="22" xfId="1" applyNumberFormat="1" applyFont="1" applyFill="1" applyBorder="1"/>
    <xf numFmtId="0" fontId="13" fillId="2" borderId="5" xfId="0" applyFont="1" applyFill="1" applyBorder="1" applyAlignment="1">
      <alignment horizontal="center" vertical="center" wrapText="1"/>
    </xf>
    <xf numFmtId="0" fontId="0" fillId="2" borderId="5" xfId="0" applyFill="1" applyBorder="1" applyAlignment="1">
      <alignment vertical="center"/>
    </xf>
    <xf numFmtId="167" fontId="0" fillId="2" borderId="5" xfId="1" applyNumberFormat="1" applyFont="1" applyFill="1" applyBorder="1" applyAlignment="1">
      <alignment vertical="center"/>
    </xf>
    <xf numFmtId="167" fontId="0" fillId="2" borderId="5" xfId="1" applyNumberFormat="1" applyFont="1" applyFill="1" applyBorder="1"/>
    <xf numFmtId="167" fontId="14" fillId="2" borderId="23" xfId="1" applyNumberFormat="1" applyFont="1" applyFill="1" applyBorder="1"/>
    <xf numFmtId="0" fontId="14" fillId="5" borderId="5" xfId="0" applyFont="1" applyFill="1" applyBorder="1" applyAlignment="1">
      <alignment horizontal="center" vertical="center"/>
    </xf>
    <xf numFmtId="0" fontId="0" fillId="5" borderId="5" xfId="0" applyFill="1" applyBorder="1" applyAlignment="1">
      <alignment vertical="center"/>
    </xf>
    <xf numFmtId="0" fontId="16" fillId="5" borderId="5" xfId="0" applyFont="1" applyFill="1" applyBorder="1" applyAlignment="1">
      <alignment horizontal="center" vertical="center"/>
    </xf>
    <xf numFmtId="166" fontId="0" fillId="5" borderId="6" xfId="1" applyNumberFormat="1" applyFont="1" applyFill="1" applyBorder="1"/>
    <xf numFmtId="0" fontId="14" fillId="5" borderId="22" xfId="0" applyFont="1" applyFill="1" applyBorder="1" applyAlignment="1">
      <alignment horizontal="center"/>
    </xf>
    <xf numFmtId="167" fontId="14" fillId="5" borderId="22" xfId="1" applyNumberFormat="1" applyFont="1" applyFill="1" applyBorder="1"/>
    <xf numFmtId="167" fontId="14" fillId="5" borderId="23" xfId="1" applyNumberFormat="1" applyFont="1" applyFill="1" applyBorder="1"/>
    <xf numFmtId="167" fontId="0" fillId="11" borderId="6" xfId="1" applyNumberFormat="1" applyFont="1" applyFill="1" applyBorder="1"/>
    <xf numFmtId="167" fontId="14" fillId="11" borderId="22" xfId="1" applyNumberFormat="1" applyFont="1" applyFill="1" applyBorder="1"/>
    <xf numFmtId="167" fontId="14" fillId="11" borderId="23" xfId="1" applyNumberFormat="1" applyFont="1" applyFill="1" applyBorder="1"/>
    <xf numFmtId="0" fontId="14" fillId="2" borderId="5" xfId="0" applyFont="1" applyFill="1" applyBorder="1" applyAlignment="1">
      <alignment horizontal="center"/>
    </xf>
    <xf numFmtId="0" fontId="0" fillId="2" borderId="5" xfId="0" applyFill="1" applyBorder="1" applyAlignment="1">
      <alignment horizontal="center" vertical="center" wrapText="1"/>
    </xf>
    <xf numFmtId="167" fontId="16" fillId="2" borderId="5" xfId="1" applyNumberFormat="1" applyFont="1" applyFill="1" applyBorder="1"/>
    <xf numFmtId="166" fontId="16" fillId="2" borderId="6" xfId="1" applyNumberFormat="1" applyFont="1" applyFill="1" applyBorder="1"/>
    <xf numFmtId="0" fontId="13" fillId="9" borderId="33" xfId="0" applyFont="1" applyFill="1" applyBorder="1" applyAlignment="1">
      <alignment vertical="center" wrapText="1"/>
    </xf>
    <xf numFmtId="167" fontId="14" fillId="9" borderId="36" xfId="0" applyNumberFormat="1" applyFont="1" applyFill="1" applyBorder="1"/>
    <xf numFmtId="0" fontId="0" fillId="2" borderId="16" xfId="0" applyFill="1" applyBorder="1" applyAlignment="1">
      <alignment horizontal="center" vertical="center" wrapText="1"/>
    </xf>
    <xf numFmtId="0" fontId="14" fillId="11" borderId="22" xfId="0" applyFont="1" applyFill="1" applyBorder="1" applyAlignment="1">
      <alignment horizontal="right"/>
    </xf>
    <xf numFmtId="0" fontId="14" fillId="5" borderId="22" xfId="0" applyFont="1" applyFill="1" applyBorder="1" applyAlignment="1">
      <alignment horizontal="right"/>
    </xf>
    <xf numFmtId="0" fontId="14" fillId="2" borderId="22" xfId="0" applyFont="1" applyFill="1" applyBorder="1" applyAlignment="1">
      <alignment horizontal="right"/>
    </xf>
    <xf numFmtId="0" fontId="14" fillId="3" borderId="29" xfId="0" applyFont="1" applyFill="1" applyBorder="1" applyAlignment="1"/>
    <xf numFmtId="0" fontId="14" fillId="3" borderId="34" xfId="0" applyFont="1" applyFill="1" applyBorder="1" applyAlignment="1"/>
    <xf numFmtId="0" fontId="14" fillId="3" borderId="31" xfId="0" applyFont="1" applyFill="1" applyBorder="1" applyAlignment="1"/>
    <xf numFmtId="167" fontId="14" fillId="15" borderId="0" xfId="0" applyNumberFormat="1" applyFont="1" applyFill="1"/>
    <xf numFmtId="0" fontId="14" fillId="2" borderId="36" xfId="0" applyFont="1" applyFill="1" applyBorder="1" applyAlignment="1">
      <alignment horizontal="center"/>
    </xf>
    <xf numFmtId="0" fontId="14" fillId="2" borderId="36" xfId="0" applyFont="1" applyFill="1" applyBorder="1" applyAlignment="1">
      <alignment horizontal="center" vertical="center" wrapText="1"/>
    </xf>
    <xf numFmtId="0" fontId="0" fillId="2" borderId="36" xfId="0" applyFill="1" applyBorder="1"/>
    <xf numFmtId="167" fontId="14" fillId="2" borderId="36" xfId="1" applyNumberFormat="1" applyFont="1" applyFill="1" applyBorder="1"/>
    <xf numFmtId="166" fontId="14" fillId="2" borderId="56" xfId="1" applyNumberFormat="1" applyFont="1" applyFill="1" applyBorder="1"/>
    <xf numFmtId="10" fontId="0" fillId="0" borderId="0" xfId="2" applyNumberFormat="1" applyFont="1"/>
    <xf numFmtId="0" fontId="0" fillId="3" borderId="21" xfId="0" applyFill="1" applyBorder="1" applyAlignment="1">
      <alignment vertical="center"/>
    </xf>
    <xf numFmtId="0" fontId="0" fillId="3" borderId="21" xfId="0" applyFill="1" applyBorder="1"/>
    <xf numFmtId="167" fontId="0" fillId="3" borderId="21" xfId="1" applyNumberFormat="1" applyFont="1" applyFill="1" applyBorder="1"/>
    <xf numFmtId="167" fontId="16" fillId="3" borderId="21" xfId="1" applyNumberFormat="1" applyFont="1" applyFill="1" applyBorder="1" applyAlignment="1"/>
    <xf numFmtId="166" fontId="16" fillId="3" borderId="14" xfId="1" applyNumberFormat="1" applyFont="1" applyFill="1" applyBorder="1" applyAlignment="1"/>
    <xf numFmtId="0" fontId="0" fillId="3" borderId="10" xfId="0" applyFill="1" applyBorder="1" applyAlignment="1">
      <alignment horizontal="right"/>
    </xf>
    <xf numFmtId="0" fontId="10" fillId="3" borderId="10" xfId="0" applyFont="1" applyFill="1" applyBorder="1" applyAlignment="1">
      <alignment wrapText="1"/>
    </xf>
    <xf numFmtId="0" fontId="0" fillId="2" borderId="10" xfId="0" applyFill="1" applyBorder="1" applyAlignment="1"/>
    <xf numFmtId="167" fontId="15" fillId="4" borderId="1" xfId="0" applyNumberFormat="1" applyFont="1" applyFill="1" applyBorder="1" applyAlignment="1">
      <alignment horizontal="center" vertical="center" wrapText="1" readingOrder="2"/>
    </xf>
    <xf numFmtId="0" fontId="0" fillId="2" borderId="10" xfId="0" applyFill="1" applyBorder="1" applyAlignment="1">
      <alignment horizontal="right" wrapText="1"/>
    </xf>
    <xf numFmtId="171" fontId="0" fillId="0" borderId="0" xfId="2" applyNumberFormat="1" applyFont="1"/>
    <xf numFmtId="0" fontId="14" fillId="2" borderId="8" xfId="0" applyFont="1" applyFill="1" applyBorder="1" applyAlignment="1">
      <alignment horizontal="center"/>
    </xf>
    <xf numFmtId="0" fontId="0" fillId="2" borderId="8" xfId="0" applyFill="1" applyBorder="1" applyAlignment="1">
      <alignment horizontal="center" vertical="center" wrapText="1"/>
    </xf>
    <xf numFmtId="167" fontId="14" fillId="2" borderId="8" xfId="1" applyNumberFormat="1" applyFont="1" applyFill="1" applyBorder="1"/>
    <xf numFmtId="167" fontId="14" fillId="2" borderId="12" xfId="1" applyNumberFormat="1" applyFont="1" applyFill="1" applyBorder="1"/>
    <xf numFmtId="0" fontId="17" fillId="2" borderId="21" xfId="0" applyFont="1" applyFill="1" applyBorder="1" applyAlignment="1">
      <alignment horizontal="center" vertical="center" wrapText="1"/>
    </xf>
    <xf numFmtId="0" fontId="17" fillId="3" borderId="15" xfId="0" applyFont="1" applyFill="1" applyBorder="1" applyAlignment="1">
      <alignment horizontal="center" vertical="center" wrapText="1"/>
    </xf>
    <xf numFmtId="0" fontId="14" fillId="3" borderId="16" xfId="0" applyFont="1" applyFill="1" applyBorder="1" applyAlignment="1">
      <alignment horizontal="center" vertical="center" wrapText="1"/>
    </xf>
    <xf numFmtId="0" fontId="0" fillId="3" borderId="16" xfId="0" applyFill="1" applyBorder="1"/>
    <xf numFmtId="166" fontId="14" fillId="3" borderId="17" xfId="1" applyNumberFormat="1" applyFont="1" applyFill="1" applyBorder="1"/>
    <xf numFmtId="167" fontId="0" fillId="14" borderId="0" xfId="2" applyNumberFormat="1" applyFont="1" applyFill="1"/>
    <xf numFmtId="43" fontId="0" fillId="14" borderId="0" xfId="1" applyFont="1" applyFill="1"/>
    <xf numFmtId="167" fontId="0" fillId="14" borderId="0" xfId="0" applyNumberFormat="1" applyFill="1" applyAlignment="1">
      <alignment horizontal="right" wrapText="1"/>
    </xf>
    <xf numFmtId="0" fontId="23" fillId="0" borderId="4" xfId="0" applyFont="1" applyFill="1" applyBorder="1" applyAlignment="1">
      <alignment horizontal="right" vertical="center"/>
    </xf>
    <xf numFmtId="0" fontId="24" fillId="13" borderId="5" xfId="0" applyFont="1" applyFill="1" applyBorder="1" applyAlignment="1">
      <alignment horizontal="right" vertical="center" wrapText="1" readingOrder="2"/>
    </xf>
    <xf numFmtId="0" fontId="20" fillId="0" borderId="5" xfId="0" applyFont="1" applyBorder="1" applyAlignment="1">
      <alignment horizontal="center"/>
    </xf>
    <xf numFmtId="0" fontId="23" fillId="0" borderId="9" xfId="0" applyFont="1" applyFill="1" applyBorder="1" applyAlignment="1">
      <alignment horizontal="right" vertical="center"/>
    </xf>
    <xf numFmtId="0" fontId="20" fillId="3" borderId="10" xfId="0" applyFont="1" applyFill="1" applyBorder="1" applyAlignment="1">
      <alignment wrapText="1"/>
    </xf>
    <xf numFmtId="0" fontId="20" fillId="3" borderId="10" xfId="0" applyFont="1" applyFill="1" applyBorder="1"/>
    <xf numFmtId="0" fontId="20" fillId="3" borderId="11" xfId="0" applyFont="1" applyFill="1" applyBorder="1" applyAlignment="1">
      <alignment wrapText="1"/>
    </xf>
    <xf numFmtId="0" fontId="20" fillId="0" borderId="10" xfId="0" applyFont="1" applyFill="1" applyBorder="1" applyAlignment="1">
      <alignment horizontal="right" wrapText="1" readingOrder="2"/>
    </xf>
    <xf numFmtId="0" fontId="20" fillId="0" borderId="10" xfId="0" applyFont="1" applyFill="1" applyBorder="1" applyAlignment="1">
      <alignment wrapText="1"/>
    </xf>
    <xf numFmtId="0" fontId="0" fillId="0" borderId="10" xfId="0" applyFill="1" applyBorder="1" applyAlignment="1">
      <alignment wrapText="1"/>
    </xf>
    <xf numFmtId="0" fontId="0" fillId="0" borderId="11" xfId="0" applyFill="1" applyBorder="1" applyAlignment="1">
      <alignment wrapText="1"/>
    </xf>
    <xf numFmtId="170" fontId="11" fillId="0" borderId="10" xfId="5" applyNumberFormat="1" applyFont="1" applyFill="1" applyBorder="1"/>
    <xf numFmtId="0" fontId="20" fillId="3" borderId="10" xfId="3" applyFont="1" applyFill="1" applyBorder="1"/>
    <xf numFmtId="170" fontId="20" fillId="3" borderId="10" xfId="5" applyNumberFormat="1" applyFont="1" applyFill="1" applyBorder="1" applyAlignment="1">
      <alignment wrapText="1"/>
    </xf>
    <xf numFmtId="170" fontId="11" fillId="3" borderId="10" xfId="5" applyNumberFormat="1" applyFont="1" applyFill="1" applyBorder="1"/>
    <xf numFmtId="170" fontId="20" fillId="3" borderId="10" xfId="0" applyNumberFormat="1" applyFont="1" applyFill="1" applyBorder="1"/>
    <xf numFmtId="0" fontId="0" fillId="3" borderId="10" xfId="0" applyFill="1" applyBorder="1" applyAlignment="1"/>
    <xf numFmtId="170" fontId="20" fillId="3" borderId="11" xfId="0" applyNumberFormat="1" applyFont="1" applyFill="1" applyBorder="1" applyAlignment="1"/>
    <xf numFmtId="0" fontId="23" fillId="0" borderId="25" xfId="0" applyFont="1" applyFill="1" applyBorder="1" applyAlignment="1">
      <alignment horizontal="right" vertical="center"/>
    </xf>
    <xf numFmtId="0" fontId="23" fillId="0" borderId="0" xfId="0" applyFont="1" applyFill="1" applyBorder="1" applyAlignment="1">
      <alignment horizontal="right" vertical="center"/>
    </xf>
    <xf numFmtId="0" fontId="27" fillId="0" borderId="0" xfId="0" applyFont="1" applyFill="1" applyBorder="1" applyAlignment="1">
      <alignment horizontal="right" vertical="center" wrapText="1" readingOrder="2"/>
    </xf>
    <xf numFmtId="170" fontId="11" fillId="0" borderId="0" xfId="5" applyNumberFormat="1" applyFont="1" applyFill="1" applyBorder="1"/>
    <xf numFmtId="170" fontId="20" fillId="0" borderId="0" xfId="0" applyNumberFormat="1" applyFont="1" applyFill="1" applyBorder="1"/>
    <xf numFmtId="0" fontId="0" fillId="0" borderId="0" xfId="0" applyFill="1" applyBorder="1"/>
    <xf numFmtId="0" fontId="0" fillId="0" borderId="0" xfId="0" applyFill="1" applyBorder="1" applyAlignment="1"/>
    <xf numFmtId="170" fontId="20" fillId="0" borderId="0" xfId="0" applyNumberFormat="1" applyFont="1" applyFill="1" applyBorder="1" applyAlignment="1"/>
    <xf numFmtId="0" fontId="0" fillId="0" borderId="0" xfId="0" applyFill="1"/>
    <xf numFmtId="0" fontId="0" fillId="0" borderId="23" xfId="0" applyBorder="1"/>
    <xf numFmtId="0" fontId="23" fillId="0" borderId="4" xfId="3" applyFont="1" applyFill="1" applyBorder="1" applyAlignment="1">
      <alignment horizontal="right" vertical="center"/>
    </xf>
    <xf numFmtId="0" fontId="20" fillId="13" borderId="5" xfId="0" applyFont="1" applyFill="1" applyBorder="1" applyAlignment="1">
      <alignment horizontal="right" vertical="center" wrapText="1" readingOrder="1"/>
    </xf>
    <xf numFmtId="0" fontId="23" fillId="0" borderId="9" xfId="3" applyFont="1" applyFill="1" applyBorder="1" applyAlignment="1">
      <alignment horizontal="right" vertical="center"/>
    </xf>
    <xf numFmtId="0" fontId="29" fillId="0" borderId="10" xfId="0" applyFont="1" applyFill="1" applyBorder="1" applyAlignment="1">
      <alignment horizontal="right" vertical="center"/>
    </xf>
    <xf numFmtId="0" fontId="0" fillId="0" borderId="10" xfId="0" applyFill="1" applyBorder="1"/>
    <xf numFmtId="170" fontId="9" fillId="0" borderId="10" xfId="5" applyNumberFormat="1" applyFont="1" applyFill="1" applyBorder="1" applyAlignment="1">
      <alignment vertical="center" wrapText="1"/>
    </xf>
    <xf numFmtId="0" fontId="0" fillId="0" borderId="10" xfId="0" applyBorder="1" applyAlignment="1">
      <alignment wrapText="1"/>
    </xf>
    <xf numFmtId="0" fontId="0" fillId="0" borderId="11" xfId="0" applyBorder="1"/>
    <xf numFmtId="170" fontId="32" fillId="0" borderId="10" xfId="5" applyNumberFormat="1" applyFont="1" applyBorder="1" applyAlignment="1">
      <alignment horizontal="right" vertical="center" wrapText="1" readingOrder="2"/>
    </xf>
    <xf numFmtId="170" fontId="20" fillId="0" borderId="10" xfId="5" applyNumberFormat="1" applyFont="1" applyFill="1" applyBorder="1" applyAlignment="1">
      <alignment horizontal="right" vertical="center" wrapText="1" readingOrder="2"/>
    </xf>
    <xf numFmtId="170" fontId="20" fillId="0" borderId="10" xfId="5" applyNumberFormat="1" applyFont="1" applyFill="1" applyBorder="1" applyAlignment="1">
      <alignment vertical="center" wrapText="1"/>
    </xf>
    <xf numFmtId="170" fontId="30" fillId="0" borderId="10" xfId="5" applyNumberFormat="1" applyFont="1" applyBorder="1" applyAlignment="1">
      <alignment horizontal="right" vertical="center" wrapText="1" readingOrder="2"/>
    </xf>
    <xf numFmtId="170" fontId="9" fillId="0" borderId="10" xfId="5" applyNumberFormat="1" applyFont="1" applyBorder="1" applyAlignment="1">
      <alignment horizontal="left" vertical="center" wrapText="1" readingOrder="1"/>
    </xf>
    <xf numFmtId="0" fontId="20" fillId="0" borderId="10" xfId="0" applyFont="1" applyFill="1" applyBorder="1" applyAlignment="1">
      <alignment horizontal="right" vertical="center" wrapText="1" readingOrder="2"/>
    </xf>
    <xf numFmtId="170" fontId="9" fillId="0" borderId="10" xfId="5" applyNumberFormat="1" applyFont="1" applyBorder="1" applyAlignment="1">
      <alignment horizontal="right" vertical="center" wrapText="1" readingOrder="2"/>
    </xf>
    <xf numFmtId="170" fontId="9" fillId="0" borderId="10" xfId="5" applyNumberFormat="1" applyFont="1" applyBorder="1" applyAlignment="1">
      <alignment vertical="center" wrapText="1"/>
    </xf>
    <xf numFmtId="0" fontId="28" fillId="0" borderId="10" xfId="0" applyFont="1" applyFill="1" applyBorder="1" applyAlignment="1">
      <alignment horizontal="right" vertical="center" wrapText="1" readingOrder="2"/>
    </xf>
    <xf numFmtId="0" fontId="33" fillId="0" borderId="0" xfId="0" applyFont="1"/>
    <xf numFmtId="170" fontId="20" fillId="3" borderId="11" xfId="0" applyNumberFormat="1" applyFont="1" applyFill="1" applyBorder="1"/>
    <xf numFmtId="0" fontId="23" fillId="0" borderId="58" xfId="0" applyFont="1" applyFill="1" applyBorder="1" applyAlignment="1">
      <alignment horizontal="right" vertical="center"/>
    </xf>
    <xf numFmtId="0" fontId="20" fillId="3" borderId="5" xfId="0" applyFont="1" applyFill="1" applyBorder="1"/>
    <xf numFmtId="170" fontId="11" fillId="0" borderId="10" xfId="5" applyNumberFormat="1" applyFont="1" applyFill="1" applyBorder="1" applyAlignment="1">
      <alignment horizontal="right"/>
    </xf>
    <xf numFmtId="0" fontId="28" fillId="0" borderId="10" xfId="3" applyFont="1" applyBorder="1" applyAlignment="1"/>
    <xf numFmtId="170" fontId="28" fillId="0" borderId="11" xfId="3" applyNumberFormat="1" applyFont="1" applyFill="1" applyBorder="1"/>
    <xf numFmtId="170" fontId="11" fillId="3" borderId="22" xfId="5" applyNumberFormat="1" applyFont="1" applyFill="1" applyBorder="1"/>
    <xf numFmtId="170" fontId="20" fillId="3" borderId="22" xfId="0" applyNumberFormat="1" applyFont="1" applyFill="1" applyBorder="1"/>
    <xf numFmtId="0" fontId="20" fillId="3" borderId="22" xfId="3" applyFont="1" applyFill="1" applyBorder="1"/>
    <xf numFmtId="0" fontId="0" fillId="3" borderId="22" xfId="0" applyFill="1" applyBorder="1" applyAlignment="1"/>
    <xf numFmtId="170" fontId="20" fillId="3" borderId="23" xfId="0" applyNumberFormat="1" applyFont="1" applyFill="1" applyBorder="1"/>
    <xf numFmtId="170" fontId="20" fillId="0" borderId="0" xfId="0" applyNumberFormat="1" applyFont="1" applyBorder="1"/>
    <xf numFmtId="0" fontId="20" fillId="0" borderId="0" xfId="0" applyFont="1" applyFill="1" applyBorder="1"/>
    <xf numFmtId="0" fontId="20" fillId="13" borderId="5" xfId="3" applyFont="1" applyFill="1" applyBorder="1" applyAlignment="1">
      <alignment horizontal="right" vertical="center" wrapText="1" readingOrder="1"/>
    </xf>
    <xf numFmtId="170" fontId="20" fillId="3" borderId="22" xfId="3" applyNumberFormat="1" applyFont="1" applyFill="1" applyBorder="1" applyAlignment="1">
      <alignment wrapText="1"/>
    </xf>
    <xf numFmtId="170" fontId="20" fillId="3" borderId="22" xfId="3" applyNumberFormat="1" applyFont="1" applyFill="1" applyBorder="1"/>
    <xf numFmtId="170" fontId="20" fillId="3" borderId="23" xfId="3" applyNumberFormat="1" applyFont="1" applyFill="1" applyBorder="1"/>
    <xf numFmtId="166" fontId="9" fillId="0" borderId="10" xfId="1" applyNumberFormat="1" applyFont="1" applyBorder="1" applyAlignment="1">
      <alignment horizontal="right" vertical="center" wrapText="1"/>
    </xf>
    <xf numFmtId="0" fontId="0" fillId="0" borderId="0" xfId="0" applyAlignment="1"/>
    <xf numFmtId="0" fontId="37" fillId="0" borderId="10" xfId="0" applyFont="1" applyBorder="1" applyAlignment="1">
      <alignment horizontal="right" vertical="center" readingOrder="2"/>
    </xf>
    <xf numFmtId="0" fontId="36" fillId="0" borderId="10" xfId="0" applyFont="1" applyBorder="1" applyAlignment="1">
      <alignment horizontal="right" vertical="center" readingOrder="2"/>
    </xf>
    <xf numFmtId="166" fontId="36" fillId="0" borderId="10" xfId="1" applyNumberFormat="1" applyFont="1" applyBorder="1" applyAlignment="1">
      <alignment horizontal="right" vertical="center" readingOrder="2"/>
    </xf>
    <xf numFmtId="0" fontId="28" fillId="0" borderId="0" xfId="0" applyFont="1" applyFill="1" applyBorder="1" applyAlignment="1">
      <alignment horizontal="right" vertical="center" wrapText="1" readingOrder="1"/>
    </xf>
    <xf numFmtId="0" fontId="20" fillId="3" borderId="10" xfId="3" applyFont="1" applyFill="1" applyBorder="1" applyAlignment="1">
      <alignment wrapText="1"/>
    </xf>
    <xf numFmtId="0" fontId="29" fillId="0" borderId="9" xfId="0" applyFont="1" applyFill="1" applyBorder="1" applyAlignment="1">
      <alignment horizontal="right" vertical="center"/>
    </xf>
    <xf numFmtId="0" fontId="40" fillId="0" borderId="10" xfId="0" applyFont="1" applyFill="1" applyBorder="1" applyAlignment="1">
      <alignment horizontal="right" vertical="center" wrapText="1" readingOrder="2"/>
    </xf>
    <xf numFmtId="0" fontId="40" fillId="0" borderId="10" xfId="0" applyFont="1" applyBorder="1" applyAlignment="1">
      <alignment horizontal="left" vertical="center" wrapText="1"/>
    </xf>
    <xf numFmtId="166" fontId="41" fillId="0" borderId="10" xfId="1" applyNumberFormat="1" applyFont="1" applyBorder="1" applyAlignment="1">
      <alignment horizontal="left" vertical="center" readingOrder="2"/>
    </xf>
    <xf numFmtId="170" fontId="29" fillId="0" borderId="10" xfId="3" applyNumberFormat="1" applyFont="1" applyFill="1" applyBorder="1" applyAlignment="1">
      <alignment horizontal="right" readingOrder="2"/>
    </xf>
    <xf numFmtId="170" fontId="28" fillId="0" borderId="10" xfId="3" applyNumberFormat="1" applyFont="1" applyFill="1" applyBorder="1"/>
    <xf numFmtId="0" fontId="40" fillId="0" borderId="10" xfId="0" applyFont="1" applyBorder="1" applyAlignment="1">
      <alignment horizontal="right" vertical="center" wrapText="1" readingOrder="2"/>
    </xf>
    <xf numFmtId="0" fontId="42" fillId="0" borderId="10" xfId="0" applyFont="1" applyBorder="1" applyAlignment="1">
      <alignment horizontal="right" vertical="center"/>
    </xf>
    <xf numFmtId="166" fontId="43" fillId="0" borderId="10" xfId="1" applyNumberFormat="1" applyFont="1" applyBorder="1" applyAlignment="1">
      <alignment horizontal="left" vertical="center" readingOrder="2"/>
    </xf>
    <xf numFmtId="170" fontId="23" fillId="0" borderId="10" xfId="3" applyNumberFormat="1" applyFont="1" applyFill="1" applyBorder="1" applyAlignment="1">
      <alignment horizontal="right" readingOrder="2"/>
    </xf>
    <xf numFmtId="170" fontId="20" fillId="0" borderId="10" xfId="3" applyNumberFormat="1" applyFont="1" applyFill="1" applyBorder="1"/>
    <xf numFmtId="0" fontId="20" fillId="0" borderId="10" xfId="3" applyFont="1" applyBorder="1" applyAlignment="1"/>
    <xf numFmtId="170" fontId="20" fillId="0" borderId="11" xfId="3" applyNumberFormat="1" applyFont="1" applyFill="1" applyBorder="1"/>
    <xf numFmtId="0" fontId="28" fillId="0" borderId="10" xfId="3" applyFont="1" applyFill="1" applyBorder="1" applyAlignment="1"/>
    <xf numFmtId="0" fontId="40" fillId="0" borderId="10" xfId="0" applyNumberFormat="1" applyFont="1" applyFill="1" applyBorder="1" applyAlignment="1">
      <alignment horizontal="left" vertical="center" wrapText="1"/>
    </xf>
    <xf numFmtId="0" fontId="29" fillId="0" borderId="10" xfId="3" applyFont="1" applyFill="1" applyBorder="1" applyAlignment="1">
      <alignment horizontal="right"/>
    </xf>
    <xf numFmtId="170" fontId="44" fillId="0" borderId="10" xfId="5" applyNumberFormat="1" applyFont="1" applyFill="1" applyBorder="1" applyAlignment="1">
      <alignment horizontal="right"/>
    </xf>
    <xf numFmtId="0" fontId="41" fillId="0" borderId="10" xfId="0" applyFont="1" applyFill="1" applyBorder="1" applyAlignment="1">
      <alignment horizontal="right" vertical="center" wrapText="1" readingOrder="2"/>
    </xf>
    <xf numFmtId="0" fontId="40" fillId="0" borderId="0" xfId="0" applyFont="1" applyFill="1" applyBorder="1" applyAlignment="1">
      <alignment horizontal="left" vertical="center" wrapText="1"/>
    </xf>
    <xf numFmtId="166" fontId="41" fillId="0" borderId="0" xfId="1" applyNumberFormat="1" applyFont="1" applyFill="1" applyBorder="1" applyAlignment="1">
      <alignment horizontal="right" vertical="center" readingOrder="2"/>
    </xf>
    <xf numFmtId="170" fontId="29" fillId="0" borderId="0" xfId="3" applyNumberFormat="1" applyFont="1" applyFill="1" applyBorder="1" applyAlignment="1">
      <alignment horizontal="right" readingOrder="2"/>
    </xf>
    <xf numFmtId="170" fontId="20" fillId="0" borderId="0" xfId="3" applyNumberFormat="1" applyFont="1" applyFill="1" applyBorder="1"/>
    <xf numFmtId="0" fontId="40" fillId="0" borderId="0" xfId="0" applyFont="1" applyFill="1" applyBorder="1" applyAlignment="1">
      <alignment horizontal="right" vertical="center" wrapText="1" readingOrder="2"/>
    </xf>
    <xf numFmtId="0" fontId="0" fillId="0" borderId="9" xfId="0" applyBorder="1"/>
    <xf numFmtId="165" fontId="0" fillId="0" borderId="0" xfId="0" applyNumberFormat="1"/>
    <xf numFmtId="170" fontId="20" fillId="3" borderId="10" xfId="3" applyNumberFormat="1" applyFont="1" applyFill="1" applyBorder="1" applyAlignment="1">
      <alignment wrapText="1"/>
    </xf>
    <xf numFmtId="170" fontId="20" fillId="3" borderId="10" xfId="3" applyNumberFormat="1" applyFont="1" applyFill="1" applyBorder="1"/>
    <xf numFmtId="170" fontId="20" fillId="3" borderId="11" xfId="3" applyNumberFormat="1" applyFont="1" applyFill="1" applyBorder="1"/>
    <xf numFmtId="0" fontId="0" fillId="0" borderId="22" xfId="0" applyBorder="1" applyAlignment="1"/>
    <xf numFmtId="0" fontId="23" fillId="0" borderId="13" xfId="0" applyFont="1" applyFill="1" applyBorder="1" applyAlignment="1">
      <alignment horizontal="right" vertical="center"/>
    </xf>
    <xf numFmtId="0" fontId="29" fillId="0" borderId="25" xfId="0" applyFont="1" applyFill="1" applyBorder="1" applyAlignment="1">
      <alignment horizontal="right" vertical="center"/>
    </xf>
    <xf numFmtId="0" fontId="23" fillId="0" borderId="59" xfId="0" applyFont="1" applyFill="1" applyBorder="1" applyAlignment="1">
      <alignment horizontal="right" vertical="center"/>
    </xf>
    <xf numFmtId="0" fontId="23" fillId="0" borderId="60" xfId="0" applyFont="1" applyFill="1" applyBorder="1" applyAlignment="1">
      <alignment horizontal="right" vertical="center"/>
    </xf>
    <xf numFmtId="0" fontId="23" fillId="0" borderId="61" xfId="0" applyFont="1" applyFill="1" applyBorder="1" applyAlignment="1">
      <alignment horizontal="right" vertical="center"/>
    </xf>
    <xf numFmtId="0" fontId="0" fillId="0" borderId="22" xfId="0" applyFill="1" applyBorder="1" applyAlignment="1"/>
    <xf numFmtId="0" fontId="46" fillId="0" borderId="10" xfId="6" applyFont="1" applyFill="1" applyBorder="1" applyAlignment="1">
      <alignment horizontal="right" vertical="center" wrapText="1" readingOrder="1"/>
    </xf>
    <xf numFmtId="0" fontId="46" fillId="0" borderId="10" xfId="6" applyFont="1" applyFill="1" applyBorder="1" applyAlignment="1">
      <alignment vertical="center" wrapText="1" readingOrder="2"/>
    </xf>
    <xf numFmtId="0" fontId="29" fillId="0" borderId="0" xfId="0" applyFont="1" applyFill="1" applyBorder="1" applyAlignment="1">
      <alignment horizontal="right" vertical="center" wrapText="1"/>
    </xf>
    <xf numFmtId="0" fontId="28" fillId="0" borderId="10" xfId="0" applyFont="1" applyFill="1" applyBorder="1" applyAlignment="1">
      <alignment horizontal="right" vertical="center" wrapText="1" readingOrder="1"/>
    </xf>
    <xf numFmtId="170" fontId="20" fillId="0" borderId="10" xfId="0" applyNumberFormat="1" applyFont="1" applyBorder="1"/>
    <xf numFmtId="170" fontId="20" fillId="3" borderId="23" xfId="0" applyNumberFormat="1" applyFont="1" applyFill="1" applyBorder="1" applyAlignment="1"/>
    <xf numFmtId="0" fontId="0" fillId="0" borderId="0" xfId="0" applyAlignment="1">
      <alignment horizontal="center" vertical="center" wrapText="1"/>
    </xf>
    <xf numFmtId="175" fontId="35" fillId="0" borderId="10" xfId="1" applyNumberFormat="1" applyFont="1" applyBorder="1" applyAlignment="1">
      <alignment horizontal="center"/>
    </xf>
    <xf numFmtId="175" fontId="34" fillId="0" borderId="9" xfId="1" applyNumberFormat="1" applyFont="1" applyBorder="1" applyAlignment="1">
      <alignment horizontal="center"/>
    </xf>
    <xf numFmtId="175" fontId="34" fillId="0" borderId="10" xfId="1" applyNumberFormat="1" applyFont="1" applyBorder="1" applyAlignment="1">
      <alignment horizontal="center"/>
    </xf>
    <xf numFmtId="175" fontId="34" fillId="0" borderId="10" xfId="1" applyNumberFormat="1" applyFont="1" applyFill="1" applyBorder="1" applyAlignment="1"/>
    <xf numFmtId="175" fontId="51" fillId="0" borderId="10" xfId="1" applyNumberFormat="1" applyFont="1" applyBorder="1" applyAlignment="1">
      <alignment horizontal="right" vertical="center"/>
    </xf>
    <xf numFmtId="175" fontId="34" fillId="0" borderId="9" xfId="1" applyNumberFormat="1" applyFont="1" applyBorder="1" applyAlignment="1">
      <alignment horizontal="center" vertical="center"/>
    </xf>
    <xf numFmtId="175" fontId="34" fillId="0" borderId="10" xfId="1" applyNumberFormat="1" applyFont="1" applyBorder="1" applyAlignment="1">
      <alignment horizontal="center" vertical="center"/>
    </xf>
    <xf numFmtId="170" fontId="11" fillId="3" borderId="22" xfId="5" applyNumberFormat="1" applyFont="1" applyFill="1" applyBorder="1" applyAlignment="1"/>
    <xf numFmtId="170" fontId="14" fillId="3" borderId="22" xfId="0" applyNumberFormat="1" applyFont="1" applyFill="1" applyBorder="1" applyAlignment="1"/>
    <xf numFmtId="0" fontId="29" fillId="0" borderId="0" xfId="0" applyFont="1" applyFill="1" applyBorder="1" applyAlignment="1">
      <alignment horizontal="right" vertical="center"/>
    </xf>
    <xf numFmtId="0" fontId="0" fillId="0" borderId="10" xfId="0" applyFill="1" applyBorder="1" applyAlignment="1"/>
    <xf numFmtId="175" fontId="51" fillId="0" borderId="10" xfId="1" applyNumberFormat="1" applyFont="1" applyBorder="1" applyAlignment="1">
      <alignment vertical="center"/>
    </xf>
    <xf numFmtId="175" fontId="51" fillId="0" borderId="11" xfId="1" applyNumberFormat="1" applyFont="1" applyBorder="1" applyAlignment="1">
      <alignment vertical="center"/>
    </xf>
    <xf numFmtId="175" fontId="51" fillId="0" borderId="9" xfId="1" applyNumberFormat="1" applyFont="1" applyBorder="1" applyAlignment="1">
      <alignment horizontal="center"/>
    </xf>
    <xf numFmtId="175" fontId="51" fillId="0" borderId="10" xfId="1" applyNumberFormat="1" applyFont="1" applyBorder="1" applyAlignment="1">
      <alignment horizontal="center"/>
    </xf>
    <xf numFmtId="175" fontId="51" fillId="0" borderId="10" xfId="1" applyNumberFormat="1" applyFont="1" applyFill="1" applyBorder="1" applyAlignment="1">
      <alignment horizontal="center"/>
    </xf>
    <xf numFmtId="0" fontId="0" fillId="0" borderId="11" xfId="0" applyFill="1" applyBorder="1" applyAlignment="1"/>
    <xf numFmtId="166" fontId="51" fillId="0" borderId="10" xfId="1" applyNumberFormat="1" applyFont="1" applyBorder="1" applyAlignment="1">
      <alignment horizontal="center"/>
    </xf>
    <xf numFmtId="175" fontId="55" fillId="0" borderId="10" xfId="1" applyNumberFormat="1" applyFont="1" applyFill="1" applyBorder="1" applyAlignment="1">
      <alignment horizontal="center"/>
    </xf>
    <xf numFmtId="175" fontId="55" fillId="0" borderId="10" xfId="1" applyNumberFormat="1" applyFont="1" applyBorder="1" applyAlignment="1">
      <alignment horizontal="center"/>
    </xf>
    <xf numFmtId="175" fontId="55" fillId="0" borderId="9" xfId="1" applyNumberFormat="1" applyFont="1" applyBorder="1" applyAlignment="1">
      <alignment horizontal="center"/>
    </xf>
    <xf numFmtId="0" fontId="46" fillId="0" borderId="10" xfId="0" applyFont="1" applyFill="1" applyBorder="1" applyAlignment="1">
      <alignment horizontal="right" vertical="center" wrapText="1"/>
    </xf>
    <xf numFmtId="170" fontId="34" fillId="0" borderId="10" xfId="5" applyNumberFormat="1" applyFont="1" applyBorder="1" applyAlignment="1"/>
    <xf numFmtId="170" fontId="34" fillId="0" borderId="10" xfId="5" applyNumberFormat="1" applyFont="1" applyBorder="1" applyAlignment="1">
      <alignment horizontal="right"/>
    </xf>
    <xf numFmtId="0" fontId="34" fillId="3" borderId="10" xfId="0" applyFont="1" applyFill="1" applyBorder="1" applyAlignment="1"/>
    <xf numFmtId="170" fontId="34" fillId="0" borderId="11" xfId="5" applyNumberFormat="1" applyFont="1" applyFill="1" applyBorder="1" applyAlignment="1"/>
    <xf numFmtId="166" fontId="34" fillId="0" borderId="0" xfId="1" applyNumberFormat="1" applyFont="1" applyBorder="1" applyAlignment="1"/>
    <xf numFmtId="0" fontId="34" fillId="0" borderId="0" xfId="0" applyFont="1" applyBorder="1" applyAlignment="1"/>
    <xf numFmtId="175" fontId="55" fillId="0" borderId="10" xfId="1" applyNumberFormat="1" applyFont="1" applyBorder="1" applyAlignment="1">
      <alignment horizontal="center" vertical="center"/>
    </xf>
    <xf numFmtId="175" fontId="56" fillId="0" borderId="10" xfId="1" applyNumberFormat="1" applyFont="1" applyBorder="1" applyAlignment="1">
      <alignment horizontal="right" vertical="center"/>
    </xf>
    <xf numFmtId="0" fontId="0" fillId="0" borderId="0" xfId="0" applyAlignment="1">
      <alignment vertical="center"/>
    </xf>
    <xf numFmtId="0" fontId="34" fillId="0" borderId="10" xfId="0" applyFont="1" applyFill="1" applyBorder="1" applyAlignment="1"/>
    <xf numFmtId="0" fontId="34" fillId="0" borderId="11" xfId="0" applyFont="1" applyFill="1" applyBorder="1" applyAlignment="1"/>
    <xf numFmtId="166" fontId="34" fillId="0" borderId="0" xfId="1" applyNumberFormat="1" applyFont="1" applyAlignment="1"/>
    <xf numFmtId="0" fontId="34" fillId="0" borderId="0" xfId="0" applyFont="1" applyAlignment="1"/>
    <xf numFmtId="0" fontId="39" fillId="3" borderId="10" xfId="0" applyFont="1" applyFill="1" applyBorder="1" applyAlignment="1"/>
    <xf numFmtId="0" fontId="39" fillId="0" borderId="11" xfId="0" applyFont="1" applyFill="1" applyBorder="1" applyAlignment="1"/>
    <xf numFmtId="0" fontId="39" fillId="0" borderId="10" xfId="0" applyFont="1" applyFill="1" applyBorder="1" applyAlignment="1"/>
    <xf numFmtId="0" fontId="20" fillId="0" borderId="10" xfId="3" applyFont="1" applyFill="1" applyBorder="1" applyAlignment="1">
      <alignment horizontal="center" vertical="center" wrapText="1"/>
    </xf>
    <xf numFmtId="0" fontId="39" fillId="0" borderId="10" xfId="0" applyFont="1" applyBorder="1" applyAlignment="1">
      <alignment wrapText="1"/>
    </xf>
    <xf numFmtId="175" fontId="39" fillId="0" borderId="10" xfId="1" applyNumberFormat="1" applyFont="1" applyBorder="1" applyAlignment="1">
      <alignment horizontal="center"/>
    </xf>
    <xf numFmtId="0" fontId="23" fillId="0" borderId="10" xfId="0" applyFont="1" applyFill="1" applyBorder="1" applyAlignment="1"/>
    <xf numFmtId="175" fontId="51" fillId="0" borderId="9" xfId="1" applyNumberFormat="1" applyFont="1" applyFill="1" applyBorder="1" applyAlignment="1">
      <alignment horizontal="center"/>
    </xf>
    <xf numFmtId="0" fontId="39" fillId="3" borderId="10" xfId="0" applyFont="1" applyFill="1" applyBorder="1" applyAlignment="1">
      <alignment wrapText="1"/>
    </xf>
    <xf numFmtId="175" fontId="51" fillId="0" borderId="10" xfId="1" applyNumberFormat="1" applyFont="1" applyFill="1" applyBorder="1" applyAlignment="1">
      <alignment horizontal="right"/>
    </xf>
    <xf numFmtId="175" fontId="51" fillId="0" borderId="10" xfId="1" applyNumberFormat="1" applyFont="1" applyFill="1" applyBorder="1" applyAlignment="1">
      <alignment horizontal="right" vertical="center"/>
    </xf>
    <xf numFmtId="0" fontId="35" fillId="0" borderId="10" xfId="0" applyFont="1" applyFill="1" applyBorder="1" applyAlignment="1"/>
    <xf numFmtId="0" fontId="35" fillId="0" borderId="11" xfId="0" applyFont="1" applyFill="1" applyBorder="1" applyAlignment="1"/>
    <xf numFmtId="0" fontId="25" fillId="0" borderId="10" xfId="0" applyFont="1" applyFill="1" applyBorder="1" applyAlignment="1">
      <alignment horizontal="right" vertical="center" wrapText="1"/>
    </xf>
    <xf numFmtId="175" fontId="56" fillId="0" borderId="10" xfId="1" applyNumberFormat="1" applyFont="1" applyFill="1" applyBorder="1" applyAlignment="1"/>
    <xf numFmtId="175" fontId="56" fillId="0" borderId="10" xfId="1" applyNumberFormat="1" applyFont="1" applyFill="1" applyBorder="1" applyAlignment="1">
      <alignment horizontal="center"/>
    </xf>
    <xf numFmtId="0" fontId="34" fillId="0" borderId="0" xfId="0" applyFont="1" applyFill="1" applyBorder="1" applyAlignment="1"/>
    <xf numFmtId="166" fontId="34" fillId="0" borderId="0" xfId="1" applyNumberFormat="1" applyFont="1" applyFill="1" applyBorder="1" applyAlignment="1"/>
    <xf numFmtId="175" fontId="56" fillId="0" borderId="7" xfId="1" applyNumberFormat="1" applyFont="1" applyBorder="1" applyAlignment="1">
      <alignment horizontal="center"/>
    </xf>
    <xf numFmtId="0" fontId="58" fillId="0" borderId="8" xfId="0" applyFont="1" applyFill="1" applyBorder="1" applyAlignment="1">
      <alignment horizontal="right" vertical="center" wrapText="1"/>
    </xf>
    <xf numFmtId="175" fontId="56" fillId="0" borderId="8" xfId="1" applyNumberFormat="1" applyFont="1" applyBorder="1" applyAlignment="1">
      <alignment horizontal="center"/>
    </xf>
    <xf numFmtId="175" fontId="56" fillId="0" borderId="8" xfId="1" applyNumberFormat="1" applyFont="1" applyFill="1" applyBorder="1" applyAlignment="1">
      <alignment horizontal="center"/>
    </xf>
    <xf numFmtId="0" fontId="55" fillId="3" borderId="8" xfId="0" applyFont="1" applyFill="1" applyBorder="1" applyAlignment="1"/>
    <xf numFmtId="0" fontId="55" fillId="0" borderId="8" xfId="0" applyFont="1" applyFill="1" applyBorder="1" applyAlignment="1"/>
    <xf numFmtId="0" fontId="55" fillId="0" borderId="12" xfId="0" applyFont="1" applyFill="1" applyBorder="1" applyAlignment="1"/>
    <xf numFmtId="0" fontId="55" fillId="0" borderId="0" xfId="0" applyFont="1" applyFill="1" applyBorder="1" applyAlignment="1"/>
    <xf numFmtId="166" fontId="55" fillId="0" borderId="0" xfId="1" applyNumberFormat="1" applyFont="1" applyFill="1" applyBorder="1" applyAlignment="1"/>
    <xf numFmtId="0" fontId="46" fillId="0" borderId="10" xfId="0" applyFont="1" applyFill="1" applyBorder="1" applyAlignment="1">
      <alignment horizontal="right" vertical="center"/>
    </xf>
    <xf numFmtId="0" fontId="34" fillId="3" borderId="10" xfId="0" applyFont="1" applyFill="1" applyBorder="1" applyAlignment="1">
      <alignment wrapText="1"/>
    </xf>
    <xf numFmtId="0" fontId="59" fillId="0" borderId="10" xfId="0" applyFont="1" applyBorder="1" applyAlignment="1">
      <alignment wrapText="1"/>
    </xf>
    <xf numFmtId="0" fontId="59" fillId="0" borderId="11" xfId="0" applyFont="1" applyBorder="1" applyAlignment="1">
      <alignment wrapText="1"/>
    </xf>
    <xf numFmtId="175" fontId="34" fillId="0" borderId="9" xfId="0" applyNumberFormat="1" applyFont="1" applyFill="1" applyBorder="1" applyAlignment="1">
      <alignment horizontal="center"/>
    </xf>
    <xf numFmtId="0" fontId="46" fillId="0" borderId="10" xfId="0" applyFont="1" applyFill="1" applyBorder="1" applyAlignment="1">
      <alignment vertical="center"/>
    </xf>
    <xf numFmtId="175" fontId="34" fillId="0" borderId="10" xfId="0" applyNumberFormat="1" applyFont="1" applyFill="1" applyBorder="1" applyAlignment="1">
      <alignment horizontal="center"/>
    </xf>
    <xf numFmtId="166" fontId="0" fillId="0" borderId="0" xfId="1" applyNumberFormat="1" applyFont="1" applyFill="1"/>
    <xf numFmtId="0" fontId="46" fillId="0" borderId="20" xfId="6" applyFont="1" applyFill="1" applyBorder="1" applyAlignment="1">
      <alignment horizontal="right" vertical="center" readingOrder="1"/>
    </xf>
    <xf numFmtId="0" fontId="29" fillId="0" borderId="0" xfId="3" applyFont="1" applyFill="1" applyBorder="1" applyAlignment="1">
      <alignment horizontal="right" vertical="center"/>
    </xf>
    <xf numFmtId="0" fontId="20" fillId="0" borderId="0" xfId="3" applyFont="1" applyFill="1" applyBorder="1" applyAlignment="1">
      <alignment horizontal="right" vertical="center" wrapText="1" readingOrder="1"/>
    </xf>
    <xf numFmtId="0" fontId="19" fillId="0" borderId="0" xfId="3" applyFill="1" applyBorder="1"/>
    <xf numFmtId="0" fontId="20" fillId="0" borderId="0" xfId="3" applyFont="1" applyFill="1" applyBorder="1"/>
    <xf numFmtId="0" fontId="29" fillId="0" borderId="4" xfId="0" applyFont="1" applyFill="1" applyBorder="1" applyAlignment="1">
      <alignment horizontal="right" vertical="center"/>
    </xf>
    <xf numFmtId="0" fontId="29" fillId="3" borderId="9" xfId="0" applyFont="1" applyFill="1" applyBorder="1" applyAlignment="1">
      <alignment horizontal="right" vertical="center"/>
    </xf>
    <xf numFmtId="0" fontId="29" fillId="0" borderId="9" xfId="3" applyFont="1" applyFill="1" applyBorder="1" applyAlignment="1">
      <alignment horizontal="right" vertical="center"/>
    </xf>
    <xf numFmtId="0" fontId="29" fillId="3" borderId="9" xfId="3" applyFont="1" applyFill="1" applyBorder="1" applyAlignment="1">
      <alignment horizontal="right" vertical="center"/>
    </xf>
    <xf numFmtId="170" fontId="20" fillId="3" borderId="10" xfId="5" applyNumberFormat="1" applyFont="1" applyFill="1" applyBorder="1"/>
    <xf numFmtId="0" fontId="60" fillId="0" borderId="0" xfId="0" applyFont="1" applyFill="1" applyBorder="1" applyAlignment="1">
      <alignment horizontal="right" vertical="center"/>
    </xf>
    <xf numFmtId="0" fontId="29" fillId="0" borderId="25" xfId="3" applyFont="1" applyFill="1" applyBorder="1" applyAlignment="1">
      <alignment horizontal="right" vertical="center"/>
    </xf>
    <xf numFmtId="170" fontId="11" fillId="0" borderId="22" xfId="5" applyNumberFormat="1" applyFont="1" applyFill="1" applyBorder="1"/>
    <xf numFmtId="170" fontId="20" fillId="0" borderId="22" xfId="0" applyNumberFormat="1" applyFont="1" applyFill="1" applyBorder="1"/>
    <xf numFmtId="0" fontId="20" fillId="0" borderId="22" xfId="3" applyFont="1" applyFill="1" applyBorder="1"/>
    <xf numFmtId="170" fontId="20" fillId="0" borderId="23" xfId="0" applyNumberFormat="1" applyFont="1" applyFill="1" applyBorder="1" applyAlignment="1"/>
    <xf numFmtId="170" fontId="11" fillId="0" borderId="10" xfId="5" applyNumberFormat="1" applyFont="1" applyFill="1" applyBorder="1" applyAlignment="1">
      <alignment horizontal="right" wrapText="1"/>
    </xf>
    <xf numFmtId="170" fontId="11" fillId="0" borderId="10" xfId="5" applyNumberFormat="1" applyFont="1" applyFill="1" applyBorder="1" applyAlignment="1">
      <alignment wrapText="1"/>
    </xf>
    <xf numFmtId="170" fontId="20" fillId="0" borderId="10" xfId="0" applyNumberFormat="1" applyFont="1" applyFill="1" applyBorder="1"/>
    <xf numFmtId="0" fontId="29" fillId="3" borderId="25" xfId="0" applyFont="1" applyFill="1" applyBorder="1" applyAlignment="1">
      <alignment horizontal="right" vertical="center"/>
    </xf>
    <xf numFmtId="170" fontId="20" fillId="3" borderId="22" xfId="5" applyNumberFormat="1" applyFont="1" applyFill="1" applyBorder="1"/>
    <xf numFmtId="0" fontId="20" fillId="0" borderId="5" xfId="0" applyFont="1" applyBorder="1" applyAlignment="1">
      <alignment horizontal="center" wrapText="1"/>
    </xf>
    <xf numFmtId="166" fontId="36" fillId="0" borderId="11" xfId="1" applyNumberFormat="1" applyFont="1" applyBorder="1"/>
    <xf numFmtId="0" fontId="22" fillId="0" borderId="29" xfId="0" applyFont="1" applyFill="1" applyBorder="1" applyAlignment="1">
      <alignment vertical="center" wrapText="1" readingOrder="1"/>
    </xf>
    <xf numFmtId="0" fontId="22" fillId="0" borderId="34" xfId="0" applyFont="1" applyFill="1" applyBorder="1" applyAlignment="1">
      <alignment vertical="center" wrapText="1" readingOrder="1"/>
    </xf>
    <xf numFmtId="0" fontId="20" fillId="0" borderId="0" xfId="0" applyFont="1" applyBorder="1" applyAlignment="1">
      <alignment wrapText="1"/>
    </xf>
    <xf numFmtId="0" fontId="20" fillId="0" borderId="10" xfId="0" applyFont="1" applyFill="1" applyBorder="1" applyAlignment="1">
      <alignment horizontal="right" readingOrder="2"/>
    </xf>
    <xf numFmtId="0" fontId="28" fillId="0" borderId="10" xfId="0" applyFont="1" applyFill="1" applyBorder="1" applyAlignment="1">
      <alignment vertical="center" wrapText="1" readingOrder="2"/>
    </xf>
    <xf numFmtId="170" fontId="0" fillId="0" borderId="10" xfId="5" applyNumberFormat="1" applyFont="1" applyFill="1" applyBorder="1" applyAlignment="1">
      <alignment horizontal="right"/>
    </xf>
    <xf numFmtId="170" fontId="0" fillId="0" borderId="10" xfId="5" applyNumberFormat="1" applyFont="1" applyFill="1" applyBorder="1"/>
    <xf numFmtId="0" fontId="29" fillId="0" borderId="7" xfId="0" applyFont="1" applyFill="1" applyBorder="1" applyAlignment="1">
      <alignment horizontal="right" vertical="center"/>
    </xf>
    <xf numFmtId="0" fontId="28" fillId="0" borderId="8" xfId="3" applyFont="1" applyFill="1" applyBorder="1" applyAlignment="1">
      <alignment horizontal="right" vertical="center" readingOrder="2"/>
    </xf>
    <xf numFmtId="0" fontId="27" fillId="0" borderId="12" xfId="0" applyFont="1" applyFill="1" applyBorder="1" applyAlignment="1">
      <alignment horizontal="right" vertical="center" wrapText="1" readingOrder="2"/>
    </xf>
    <xf numFmtId="0" fontId="27" fillId="0" borderId="11" xfId="0" applyFont="1" applyFill="1" applyBorder="1" applyAlignment="1">
      <alignment horizontal="right" vertical="center" wrapText="1" readingOrder="2"/>
    </xf>
    <xf numFmtId="0" fontId="27" fillId="0" borderId="23" xfId="0" applyFont="1" applyFill="1" applyBorder="1" applyAlignment="1">
      <alignment horizontal="right" vertical="center" wrapText="1" readingOrder="2"/>
    </xf>
    <xf numFmtId="0" fontId="29" fillId="0" borderId="4" xfId="3" applyFont="1" applyFill="1" applyBorder="1" applyAlignment="1">
      <alignment horizontal="right" vertical="center"/>
    </xf>
    <xf numFmtId="0" fontId="27" fillId="0" borderId="10" xfId="0" applyFont="1" applyFill="1" applyBorder="1" applyAlignment="1">
      <alignment horizontal="right" vertical="center" wrapText="1" readingOrder="2"/>
    </xf>
    <xf numFmtId="170" fontId="11" fillId="0" borderId="10" xfId="5" applyNumberFormat="1" applyFont="1" applyBorder="1"/>
    <xf numFmtId="0" fontId="24" fillId="0" borderId="22" xfId="0" applyFont="1" applyFill="1" applyBorder="1" applyAlignment="1">
      <alignment horizontal="right" vertical="center" readingOrder="2"/>
    </xf>
    <xf numFmtId="0" fontId="0" fillId="0" borderId="22" xfId="0" applyFill="1" applyBorder="1"/>
    <xf numFmtId="0" fontId="20" fillId="0" borderId="10" xfId="0" applyFont="1" applyFill="1" applyBorder="1" applyAlignment="1">
      <alignment horizontal="right" vertical="center" wrapText="1" readingOrder="1"/>
    </xf>
    <xf numFmtId="170" fontId="11" fillId="0" borderId="10" xfId="5" applyNumberFormat="1" applyFont="1" applyBorder="1" applyAlignment="1">
      <alignment horizontal="right" wrapText="1"/>
    </xf>
    <xf numFmtId="0" fontId="27" fillId="0" borderId="0" xfId="0" applyFont="1" applyFill="1" applyBorder="1" applyAlignment="1">
      <alignment horizontal="right" vertical="center" readingOrder="2"/>
    </xf>
    <xf numFmtId="170" fontId="0" fillId="0" borderId="0" xfId="0" applyNumberFormat="1" applyBorder="1"/>
    <xf numFmtId="0" fontId="28" fillId="0" borderId="10" xfId="3" applyFont="1" applyFill="1" applyBorder="1" applyAlignment="1">
      <alignment horizontal="right" vertical="center" wrapText="1" readingOrder="2"/>
    </xf>
    <xf numFmtId="0" fontId="31" fillId="0" borderId="0" xfId="0" applyFont="1" applyFill="1" applyBorder="1" applyAlignment="1">
      <alignment horizontal="right" vertical="center"/>
    </xf>
    <xf numFmtId="0" fontId="29" fillId="0" borderId="4" xfId="0" applyFont="1" applyFill="1" applyBorder="1" applyAlignment="1">
      <alignment horizontal="right" vertical="center" wrapText="1"/>
    </xf>
    <xf numFmtId="0" fontId="20" fillId="3" borderId="5" xfId="0" applyFont="1" applyFill="1" applyBorder="1" applyAlignment="1">
      <alignment wrapText="1"/>
    </xf>
    <xf numFmtId="0" fontId="0" fillId="0" borderId="0" xfId="0" applyBorder="1" applyAlignment="1">
      <alignment wrapText="1"/>
    </xf>
    <xf numFmtId="0" fontId="29" fillId="0" borderId="33" xfId="0" applyFont="1" applyFill="1" applyBorder="1" applyAlignment="1">
      <alignment horizontal="right" vertical="center"/>
    </xf>
    <xf numFmtId="0" fontId="28" fillId="0" borderId="10" xfId="3" applyFont="1" applyBorder="1" applyAlignment="1">
      <alignment wrapText="1"/>
    </xf>
    <xf numFmtId="0" fontId="20" fillId="3" borderId="22" xfId="3" applyFont="1" applyFill="1" applyBorder="1" applyAlignment="1">
      <alignment horizontal="right" vertical="center" wrapText="1" readingOrder="1"/>
    </xf>
    <xf numFmtId="0" fontId="19" fillId="3" borderId="22" xfId="3" applyFill="1" applyBorder="1"/>
    <xf numFmtId="170" fontId="20" fillId="0" borderId="0" xfId="0" applyNumberFormat="1" applyFont="1"/>
    <xf numFmtId="170" fontId="11" fillId="0" borderId="10" xfId="5" applyNumberFormat="1" applyFont="1" applyFill="1" applyBorder="1" applyAlignment="1">
      <alignment horizontal="center"/>
    </xf>
    <xf numFmtId="0" fontId="20" fillId="3" borderId="10" xfId="3" applyFont="1" applyFill="1" applyBorder="1" applyAlignment="1">
      <alignment horizontal="right" vertical="center" wrapText="1" readingOrder="1"/>
    </xf>
    <xf numFmtId="0" fontId="19" fillId="3" borderId="10" xfId="3" applyFill="1" applyBorder="1"/>
    <xf numFmtId="0" fontId="29" fillId="0" borderId="9" xfId="0" applyFont="1" applyFill="1" applyBorder="1" applyAlignment="1">
      <alignment horizontal="right" vertical="center" wrapText="1"/>
    </xf>
    <xf numFmtId="166" fontId="28" fillId="0" borderId="10" xfId="1" applyNumberFormat="1" applyFont="1" applyBorder="1" applyAlignment="1">
      <alignment wrapText="1"/>
    </xf>
    <xf numFmtId="170" fontId="33" fillId="0" borderId="0" xfId="5" applyNumberFormat="1" applyFont="1"/>
    <xf numFmtId="170" fontId="0" fillId="0" borderId="0" xfId="0" applyNumberFormat="1" applyFill="1"/>
    <xf numFmtId="170" fontId="14" fillId="0" borderId="10" xfId="5" applyNumberFormat="1" applyFont="1" applyBorder="1" applyAlignment="1">
      <alignment horizontal="right" wrapText="1"/>
    </xf>
    <xf numFmtId="170" fontId="0" fillId="0" borderId="10" xfId="5" applyNumberFormat="1" applyFont="1" applyFill="1" applyBorder="1" applyAlignment="1">
      <alignment wrapText="1"/>
    </xf>
    <xf numFmtId="0" fontId="27" fillId="0" borderId="22" xfId="0" applyFont="1" applyFill="1" applyBorder="1" applyAlignment="1">
      <alignment horizontal="right" vertical="center" readingOrder="2"/>
    </xf>
    <xf numFmtId="0" fontId="24" fillId="0" borderId="10" xfId="0" applyFont="1" applyFill="1" applyBorder="1" applyAlignment="1">
      <alignment horizontal="right" vertical="center" readingOrder="2"/>
    </xf>
    <xf numFmtId="170" fontId="0" fillId="0" borderId="10" xfId="0" applyNumberFormat="1" applyBorder="1" applyAlignment="1">
      <alignment wrapText="1"/>
    </xf>
    <xf numFmtId="166" fontId="36" fillId="18" borderId="10" xfId="1" applyNumberFormat="1" applyFont="1" applyFill="1" applyBorder="1" applyAlignment="1">
      <alignment horizontal="right" vertical="center" wrapText="1" readingOrder="1"/>
    </xf>
    <xf numFmtId="0" fontId="27" fillId="0" borderId="22" xfId="0" applyFont="1" applyFill="1" applyBorder="1" applyAlignment="1">
      <alignment horizontal="right" vertical="center" wrapText="1" readingOrder="2"/>
    </xf>
    <xf numFmtId="170" fontId="20" fillId="0" borderId="22" xfId="3" applyNumberFormat="1" applyFont="1" applyFill="1" applyBorder="1"/>
    <xf numFmtId="170" fontId="20" fillId="0" borderId="23" xfId="0" applyNumberFormat="1" applyFont="1" applyFill="1" applyBorder="1"/>
    <xf numFmtId="0" fontId="0" fillId="0" borderId="0" xfId="0" applyAlignment="1">
      <alignment horizontal="right" wrapText="1" readingOrder="2"/>
    </xf>
    <xf numFmtId="0" fontId="30" fillId="0" borderId="10" xfId="0" applyFont="1" applyBorder="1" applyAlignment="1">
      <alignment horizontal="right" vertical="center" wrapText="1" readingOrder="2"/>
    </xf>
    <xf numFmtId="0" fontId="61" fillId="0" borderId="10" xfId="0" applyFont="1" applyBorder="1" applyAlignment="1">
      <alignment horizontal="right" vertical="center" wrapText="1" readingOrder="2"/>
    </xf>
    <xf numFmtId="0" fontId="33" fillId="0" borderId="0" xfId="0" applyFont="1" applyFill="1" applyBorder="1" applyAlignment="1">
      <alignment horizontal="right" vertical="center" wrapText="1" readingOrder="2"/>
    </xf>
    <xf numFmtId="177" fontId="33" fillId="0" borderId="0" xfId="0" applyNumberFormat="1" applyFont="1" applyFill="1" applyBorder="1" applyAlignment="1">
      <alignment horizontal="right" vertical="center" wrapText="1" readingOrder="2"/>
    </xf>
    <xf numFmtId="174" fontId="33" fillId="0" borderId="0" xfId="0" applyNumberFormat="1" applyFont="1" applyFill="1" applyBorder="1" applyAlignment="1">
      <alignment horizontal="right" vertical="center" wrapText="1" readingOrder="2"/>
    </xf>
    <xf numFmtId="175" fontId="34" fillId="0" borderId="0" xfId="0" applyNumberFormat="1" applyFont="1" applyFill="1" applyBorder="1" applyAlignment="1"/>
    <xf numFmtId="170" fontId="14" fillId="0" borderId="0" xfId="0" applyNumberFormat="1" applyFont="1"/>
    <xf numFmtId="166" fontId="0" fillId="0" borderId="0" xfId="0" applyNumberFormat="1" applyBorder="1"/>
    <xf numFmtId="166" fontId="0" fillId="0" borderId="0" xfId="0" applyNumberFormat="1" applyFill="1"/>
    <xf numFmtId="174" fontId="0" fillId="0" borderId="0" xfId="0" applyNumberFormat="1" applyAlignment="1">
      <alignment horizontal="right" wrapText="1" readingOrder="2"/>
    </xf>
    <xf numFmtId="0" fontId="14" fillId="0" borderId="10" xfId="0" applyFont="1" applyBorder="1"/>
    <xf numFmtId="166" fontId="0" fillId="3" borderId="10" xfId="1" applyNumberFormat="1" applyFont="1" applyFill="1" applyBorder="1"/>
    <xf numFmtId="0" fontId="0" fillId="6" borderId="10" xfId="0" applyFill="1" applyBorder="1" applyAlignment="1">
      <alignment horizontal="center" vertical="center" wrapText="1"/>
    </xf>
    <xf numFmtId="0" fontId="20" fillId="0" borderId="5" xfId="0" applyFont="1" applyBorder="1" applyAlignment="1">
      <alignment horizontal="center"/>
    </xf>
    <xf numFmtId="0" fontId="20" fillId="0" borderId="5" xfId="0" applyFont="1" applyBorder="1" applyAlignment="1">
      <alignment horizontal="center" wrapText="1"/>
    </xf>
    <xf numFmtId="0" fontId="27" fillId="0" borderId="23" xfId="0" applyFont="1" applyFill="1" applyBorder="1" applyAlignment="1">
      <alignment horizontal="right" vertical="center" wrapText="1" readingOrder="2"/>
    </xf>
    <xf numFmtId="0" fontId="45" fillId="3" borderId="5" xfId="0" applyFont="1" applyFill="1" applyBorder="1"/>
    <xf numFmtId="0" fontId="20" fillId="3" borderId="10" xfId="0" applyFont="1" applyFill="1" applyBorder="1" applyAlignment="1">
      <alignment horizontal="center" vertical="center"/>
    </xf>
    <xf numFmtId="0" fontId="20" fillId="3" borderId="10" xfId="0" applyFont="1" applyFill="1" applyBorder="1" applyAlignment="1">
      <alignment horizontal="center" vertical="center" wrapText="1"/>
    </xf>
    <xf numFmtId="0" fontId="45" fillId="3" borderId="10" xfId="0" applyFont="1" applyFill="1" applyBorder="1" applyAlignment="1">
      <alignment horizontal="center" vertical="center"/>
    </xf>
    <xf numFmtId="0" fontId="20" fillId="3" borderId="11" xfId="0" applyFont="1" applyFill="1" applyBorder="1" applyAlignment="1">
      <alignment horizontal="center" vertical="center" wrapText="1"/>
    </xf>
    <xf numFmtId="0" fontId="45" fillId="3" borderId="10" xfId="0" applyFont="1" applyFill="1" applyBorder="1"/>
    <xf numFmtId="0" fontId="45" fillId="0" borderId="10" xfId="0" applyFont="1" applyFill="1" applyBorder="1" applyAlignment="1">
      <alignment wrapText="1"/>
    </xf>
    <xf numFmtId="0" fontId="45" fillId="0" borderId="11" xfId="0" applyFont="1" applyFill="1" applyBorder="1" applyAlignment="1">
      <alignment wrapText="1"/>
    </xf>
    <xf numFmtId="170" fontId="45" fillId="0" borderId="10" xfId="5" applyNumberFormat="1" applyFont="1" applyFill="1" applyBorder="1" applyAlignment="1">
      <alignment horizontal="right"/>
    </xf>
    <xf numFmtId="170" fontId="45" fillId="0" borderId="10" xfId="5" applyNumberFormat="1" applyFont="1" applyFill="1" applyBorder="1"/>
    <xf numFmtId="170" fontId="45" fillId="3" borderId="10" xfId="5" applyNumberFormat="1" applyFont="1" applyFill="1" applyBorder="1"/>
    <xf numFmtId="0" fontId="45" fillId="3" borderId="10" xfId="0" applyFont="1" applyFill="1" applyBorder="1" applyAlignment="1"/>
    <xf numFmtId="170" fontId="20" fillId="0" borderId="11" xfId="0" applyNumberFormat="1" applyFont="1" applyFill="1" applyBorder="1" applyAlignment="1"/>
    <xf numFmtId="0" fontId="23" fillId="0" borderId="7" xfId="0" applyFont="1" applyFill="1" applyBorder="1" applyAlignment="1">
      <alignment horizontal="right" vertical="center"/>
    </xf>
    <xf numFmtId="0" fontId="0" fillId="0" borderId="0" xfId="0" applyFill="1" applyBorder="1" applyAlignment="1">
      <alignment horizontal="right" wrapText="1" readingOrder="2"/>
    </xf>
    <xf numFmtId="0" fontId="20" fillId="3" borderId="10" xfId="3" applyFont="1" applyFill="1" applyBorder="1" applyAlignment="1">
      <alignment horizontal="center" vertical="center"/>
    </xf>
    <xf numFmtId="0" fontId="20" fillId="3" borderId="10" xfId="3" applyFont="1" applyFill="1" applyBorder="1" applyAlignment="1">
      <alignment horizontal="center" vertical="center" wrapText="1"/>
    </xf>
    <xf numFmtId="0" fontId="20" fillId="0" borderId="10" xfId="0" applyFont="1" applyFill="1" applyBorder="1" applyAlignment="1">
      <alignment horizontal="right" vertical="center"/>
    </xf>
    <xf numFmtId="0" fontId="20" fillId="0" borderId="10" xfId="0" applyFont="1" applyFill="1" applyBorder="1" applyAlignment="1">
      <alignment horizontal="center" vertical="center" wrapText="1"/>
    </xf>
    <xf numFmtId="0" fontId="20" fillId="0" borderId="10" xfId="0" applyFont="1" applyFill="1" applyBorder="1" applyAlignment="1">
      <alignment horizontal="center" vertical="center"/>
    </xf>
    <xf numFmtId="0" fontId="20" fillId="0" borderId="11" xfId="0" applyFont="1" applyFill="1" applyBorder="1" applyAlignment="1">
      <alignment horizontal="center" vertical="center" wrapText="1"/>
    </xf>
    <xf numFmtId="0" fontId="19" fillId="3" borderId="10" xfId="3" applyFont="1" applyFill="1" applyBorder="1"/>
    <xf numFmtId="0" fontId="20" fillId="0" borderId="10" xfId="3" applyFont="1" applyFill="1" applyBorder="1" applyAlignment="1">
      <alignment horizontal="right" vertical="center"/>
    </xf>
    <xf numFmtId="43" fontId="28" fillId="0" borderId="11" xfId="3" applyNumberFormat="1" applyFont="1" applyFill="1" applyBorder="1"/>
    <xf numFmtId="170" fontId="20" fillId="0" borderId="12" xfId="3" applyNumberFormat="1" applyFont="1" applyFill="1" applyBorder="1"/>
    <xf numFmtId="170" fontId="45" fillId="0" borderId="10" xfId="5" applyNumberFormat="1" applyFont="1" applyBorder="1" applyAlignment="1">
      <alignment horizontal="right" wrapText="1"/>
    </xf>
    <xf numFmtId="170" fontId="45" fillId="0" borderId="10" xfId="5" applyNumberFormat="1" applyFont="1" applyBorder="1"/>
    <xf numFmtId="0" fontId="45" fillId="0" borderId="10" xfId="0" applyFont="1" applyFill="1" applyBorder="1" applyAlignment="1"/>
    <xf numFmtId="0" fontId="45" fillId="0" borderId="11" xfId="0" applyFont="1" applyFill="1" applyBorder="1" applyAlignment="1"/>
    <xf numFmtId="43" fontId="24" fillId="3" borderId="10" xfId="1" applyFont="1" applyFill="1" applyBorder="1"/>
    <xf numFmtId="0" fontId="23" fillId="0" borderId="25" xfId="0" applyFont="1" applyFill="1" applyBorder="1" applyAlignment="1">
      <alignment horizontal="right" vertical="center" wrapText="1"/>
    </xf>
    <xf numFmtId="165" fontId="49" fillId="0" borderId="0" xfId="0" applyNumberFormat="1" applyFont="1"/>
    <xf numFmtId="0" fontId="23" fillId="0" borderId="4" xfId="0" applyFont="1" applyFill="1" applyBorder="1" applyAlignment="1">
      <alignment horizontal="right" vertical="center" wrapText="1"/>
    </xf>
    <xf numFmtId="170" fontId="45" fillId="0" borderId="10" xfId="5" applyNumberFormat="1" applyFont="1" applyFill="1" applyBorder="1" applyAlignment="1">
      <alignment horizontal="right" wrapText="1"/>
    </xf>
    <xf numFmtId="0" fontId="20" fillId="0" borderId="10" xfId="0" applyFont="1" applyFill="1" applyBorder="1"/>
    <xf numFmtId="170" fontId="45" fillId="0" borderId="10" xfId="1" applyNumberFormat="1" applyFont="1" applyFill="1" applyBorder="1"/>
    <xf numFmtId="174" fontId="30" fillId="0" borderId="10" xfId="4" applyNumberFormat="1" applyFont="1" applyBorder="1" applyAlignment="1">
      <alignment horizontal="right" vertical="center" wrapText="1" readingOrder="1"/>
    </xf>
    <xf numFmtId="0" fontId="23" fillId="0" borderId="66" xfId="0" applyFont="1" applyFill="1" applyBorder="1" applyAlignment="1">
      <alignment horizontal="right" vertical="center"/>
    </xf>
    <xf numFmtId="170" fontId="20" fillId="0" borderId="54" xfId="0" applyNumberFormat="1" applyFont="1" applyFill="1" applyBorder="1"/>
    <xf numFmtId="0" fontId="23" fillId="0" borderId="33" xfId="0" applyFont="1" applyFill="1" applyBorder="1" applyAlignment="1">
      <alignment horizontal="right" vertical="center"/>
    </xf>
    <xf numFmtId="0" fontId="27" fillId="0" borderId="67" xfId="0" applyFont="1" applyFill="1" applyBorder="1" applyAlignment="1">
      <alignment vertical="center" wrapText="1" readingOrder="2"/>
    </xf>
    <xf numFmtId="0" fontId="20" fillId="3" borderId="26" xfId="3" applyFont="1" applyFill="1" applyBorder="1" applyAlignment="1">
      <alignment horizontal="center" vertical="center" wrapText="1"/>
    </xf>
    <xf numFmtId="0" fontId="20" fillId="3" borderId="10" xfId="0" applyFont="1" applyFill="1" applyBorder="1" applyAlignment="1">
      <alignment horizontal="center" vertical="center" readingOrder="2"/>
    </xf>
    <xf numFmtId="0" fontId="62" fillId="0" borderId="9" xfId="0" applyFont="1" applyBorder="1"/>
    <xf numFmtId="0" fontId="62" fillId="0" borderId="10" xfId="0" applyFont="1" applyBorder="1"/>
    <xf numFmtId="0" fontId="45" fillId="0" borderId="10" xfId="0" applyFont="1" applyBorder="1"/>
    <xf numFmtId="0" fontId="45" fillId="0" borderId="11" xfId="0" applyFont="1" applyBorder="1"/>
    <xf numFmtId="170" fontId="45" fillId="0" borderId="10" xfId="5" applyNumberFormat="1" applyFont="1" applyFill="1" applyBorder="1" applyAlignment="1">
      <alignment horizontal="center"/>
    </xf>
    <xf numFmtId="0" fontId="20" fillId="3" borderId="26" xfId="0" applyFont="1" applyFill="1" applyBorder="1" applyAlignment="1">
      <alignment wrapText="1"/>
    </xf>
    <xf numFmtId="0" fontId="28" fillId="0" borderId="8" xfId="0" applyFont="1" applyFill="1" applyBorder="1"/>
    <xf numFmtId="166" fontId="28" fillId="0" borderId="8" xfId="1" applyNumberFormat="1" applyFont="1" applyFill="1" applyBorder="1" applyAlignment="1">
      <alignment horizontal="right" wrapText="1"/>
    </xf>
    <xf numFmtId="166" fontId="30" fillId="0" borderId="10" xfId="1" applyNumberFormat="1" applyFont="1" applyBorder="1" applyAlignment="1">
      <alignment horizontal="right" wrapText="1" readingOrder="1"/>
    </xf>
    <xf numFmtId="0" fontId="20" fillId="0" borderId="8" xfId="0" applyFont="1" applyFill="1" applyBorder="1" applyAlignment="1">
      <alignment wrapText="1"/>
    </xf>
    <xf numFmtId="0" fontId="45" fillId="0" borderId="8" xfId="0" applyFont="1" applyFill="1" applyBorder="1"/>
    <xf numFmtId="0" fontId="20" fillId="0" borderId="8" xfId="0" applyFont="1" applyFill="1" applyBorder="1"/>
    <xf numFmtId="0" fontId="20" fillId="0" borderId="12" xfId="0" applyFont="1" applyFill="1" applyBorder="1" applyAlignment="1">
      <alignment horizontal="center" vertical="center" wrapText="1"/>
    </xf>
    <xf numFmtId="0" fontId="45" fillId="0" borderId="10" xfId="0" applyFont="1" applyBorder="1" applyAlignment="1">
      <alignment wrapText="1"/>
    </xf>
    <xf numFmtId="0" fontId="62" fillId="0" borderId="7" xfId="0" applyFont="1" applyFill="1" applyBorder="1"/>
    <xf numFmtId="166" fontId="45" fillId="0" borderId="8" xfId="1" applyNumberFormat="1" applyFont="1" applyFill="1" applyBorder="1" applyAlignment="1">
      <alignment horizontal="right"/>
    </xf>
    <xf numFmtId="174" fontId="30" fillId="0" borderId="8" xfId="4" applyNumberFormat="1" applyFont="1" applyBorder="1" applyAlignment="1">
      <alignment horizontal="right" vertical="center" wrapText="1" readingOrder="1"/>
    </xf>
    <xf numFmtId="0" fontId="45" fillId="3" borderId="22" xfId="0" applyFont="1" applyFill="1" applyBorder="1"/>
    <xf numFmtId="0" fontId="45" fillId="0" borderId="0" xfId="0" applyFont="1" applyBorder="1" applyAlignment="1"/>
    <xf numFmtId="170" fontId="62" fillId="3" borderId="10" xfId="5" applyNumberFormat="1" applyFont="1" applyFill="1" applyBorder="1"/>
    <xf numFmtId="0" fontId="62" fillId="3" borderId="10" xfId="0" applyFont="1" applyFill="1" applyBorder="1"/>
    <xf numFmtId="0" fontId="28" fillId="0" borderId="10" xfId="6" applyFont="1" applyFill="1" applyBorder="1" applyAlignment="1">
      <alignment horizontal="right" vertical="center" wrapText="1" readingOrder="2"/>
    </xf>
    <xf numFmtId="166" fontId="28" fillId="0" borderId="10" xfId="1" applyNumberFormat="1" applyFont="1" applyFill="1" applyBorder="1" applyAlignment="1">
      <alignment wrapText="1"/>
    </xf>
    <xf numFmtId="166" fontId="45" fillId="3" borderId="10" xfId="1" applyNumberFormat="1" applyFont="1" applyFill="1" applyBorder="1"/>
    <xf numFmtId="0" fontId="20" fillId="3" borderId="1" xfId="0" applyFont="1" applyFill="1" applyBorder="1" applyAlignment="1"/>
    <xf numFmtId="0" fontId="20" fillId="3" borderId="20" xfId="0" applyFont="1" applyFill="1" applyBorder="1" applyAlignment="1"/>
    <xf numFmtId="0" fontId="20" fillId="3" borderId="36" xfId="0" applyFont="1" applyFill="1" applyBorder="1" applyAlignment="1"/>
    <xf numFmtId="166" fontId="28" fillId="0" borderId="11" xfId="3" applyNumberFormat="1" applyFont="1" applyFill="1" applyBorder="1"/>
    <xf numFmtId="166" fontId="20" fillId="0" borderId="10" xfId="1" applyNumberFormat="1" applyFont="1" applyBorder="1" applyAlignment="1">
      <alignment wrapText="1"/>
    </xf>
    <xf numFmtId="0" fontId="45" fillId="3" borderId="8" xfId="0" applyFont="1" applyFill="1" applyBorder="1"/>
    <xf numFmtId="0" fontId="45" fillId="0" borderId="8" xfId="0" applyFont="1" applyBorder="1"/>
    <xf numFmtId="0" fontId="45" fillId="0" borderId="12" xfId="0" applyFont="1" applyBorder="1"/>
    <xf numFmtId="0" fontId="20" fillId="0" borderId="9" xfId="0" applyFont="1" applyFill="1" applyBorder="1" applyAlignment="1">
      <alignment horizontal="right" vertical="center"/>
    </xf>
    <xf numFmtId="166" fontId="20" fillId="0" borderId="10" xfId="1" applyNumberFormat="1" applyFont="1" applyFill="1" applyBorder="1" applyAlignment="1">
      <alignment wrapText="1"/>
    </xf>
    <xf numFmtId="166" fontId="45" fillId="0" borderId="10" xfId="1" applyNumberFormat="1" applyFont="1" applyFill="1" applyBorder="1" applyAlignment="1">
      <alignment wrapText="1"/>
    </xf>
    <xf numFmtId="166" fontId="45" fillId="0" borderId="11" xfId="1" applyNumberFormat="1" applyFont="1" applyFill="1" applyBorder="1" applyAlignment="1">
      <alignment wrapText="1"/>
    </xf>
    <xf numFmtId="0" fontId="0" fillId="3" borderId="8" xfId="0" applyFill="1" applyBorder="1"/>
    <xf numFmtId="0" fontId="62" fillId="0" borderId="9" xfId="0" applyFont="1" applyFill="1" applyBorder="1"/>
    <xf numFmtId="174" fontId="30" fillId="0" borderId="11" xfId="4" applyNumberFormat="1" applyFont="1" applyBorder="1" applyAlignment="1">
      <alignment horizontal="right" vertical="center" wrapText="1" readingOrder="1"/>
    </xf>
    <xf numFmtId="0" fontId="45" fillId="0" borderId="10" xfId="0" applyFont="1" applyBorder="1" applyAlignment="1">
      <alignment horizontal="right" wrapText="1" readingOrder="2"/>
    </xf>
    <xf numFmtId="0" fontId="46" fillId="0" borderId="8" xfId="6" applyFont="1" applyFill="1" applyBorder="1" applyAlignment="1">
      <alignment vertical="center" wrapText="1" readingOrder="2"/>
    </xf>
    <xf numFmtId="0" fontId="62" fillId="0" borderId="0" xfId="0" applyFont="1" applyFill="1" applyBorder="1"/>
    <xf numFmtId="0" fontId="45" fillId="0" borderId="0" xfId="0" applyFont="1" applyFill="1" applyBorder="1"/>
    <xf numFmtId="0" fontId="62" fillId="0" borderId="4" xfId="0" applyFont="1" applyBorder="1"/>
    <xf numFmtId="0" fontId="20" fillId="13" borderId="5" xfId="3" applyFont="1" applyFill="1" applyBorder="1" applyAlignment="1">
      <alignment horizontal="right" vertical="center" wrapText="1" readingOrder="2"/>
    </xf>
    <xf numFmtId="0" fontId="62" fillId="0" borderId="58" xfId="0" applyFont="1" applyBorder="1"/>
    <xf numFmtId="0" fontId="62" fillId="0" borderId="58" xfId="0" applyFont="1" applyFill="1" applyBorder="1"/>
    <xf numFmtId="43" fontId="45" fillId="0" borderId="10" xfId="0" applyNumberFormat="1" applyFont="1" applyBorder="1"/>
    <xf numFmtId="170" fontId="20" fillId="3" borderId="10" xfId="3" applyNumberFormat="1" applyFont="1" applyFill="1" applyBorder="1" applyAlignment="1">
      <alignment horizontal="right" wrapText="1" readingOrder="2"/>
    </xf>
    <xf numFmtId="0" fontId="62" fillId="0" borderId="33" xfId="0" applyFont="1" applyFill="1" applyBorder="1"/>
    <xf numFmtId="0" fontId="45" fillId="0" borderId="56" xfId="0" applyFont="1" applyBorder="1"/>
    <xf numFmtId="0" fontId="62" fillId="0" borderId="0" xfId="0" applyFont="1"/>
    <xf numFmtId="0" fontId="45" fillId="0" borderId="0" xfId="0" applyFont="1"/>
    <xf numFmtId="0" fontId="20" fillId="3" borderId="9" xfId="0" applyFont="1" applyFill="1" applyBorder="1" applyAlignment="1">
      <alignment horizontal="center" vertical="center" wrapText="1"/>
    </xf>
    <xf numFmtId="170" fontId="20" fillId="0" borderId="0" xfId="3" applyNumberFormat="1" applyFont="1" applyFill="1" applyBorder="1" applyAlignment="1">
      <alignment horizontal="right" wrapText="1" readingOrder="2"/>
    </xf>
    <xf numFmtId="170" fontId="20" fillId="0" borderId="0" xfId="3" applyNumberFormat="1" applyFont="1" applyFill="1" applyBorder="1" applyAlignment="1">
      <alignment horizontal="right" wrapText="1" readingOrder="1"/>
    </xf>
    <xf numFmtId="0" fontId="13" fillId="2" borderId="21" xfId="0" applyFont="1" applyFill="1" applyBorder="1" applyAlignment="1">
      <alignment horizontal="center" vertical="center" wrapText="1"/>
    </xf>
    <xf numFmtId="0" fontId="0" fillId="2" borderId="21" xfId="0" applyFill="1" applyBorder="1" applyAlignment="1">
      <alignment vertical="center"/>
    </xf>
    <xf numFmtId="167" fontId="0" fillId="2" borderId="21" xfId="1" applyNumberFormat="1" applyFont="1" applyFill="1" applyBorder="1" applyAlignment="1">
      <alignment vertical="center"/>
    </xf>
    <xf numFmtId="167" fontId="0" fillId="2" borderId="21" xfId="1" applyNumberFormat="1" applyFont="1" applyFill="1" applyBorder="1"/>
    <xf numFmtId="166" fontId="0" fillId="2" borderId="14" xfId="1" applyNumberFormat="1" applyFont="1" applyFill="1" applyBorder="1"/>
    <xf numFmtId="166" fontId="0" fillId="2" borderId="49" xfId="1" applyNumberFormat="1" applyFont="1" applyFill="1" applyBorder="1"/>
    <xf numFmtId="0" fontId="20" fillId="0" borderId="5" xfId="0" applyFont="1" applyBorder="1" applyAlignment="1">
      <alignment horizontal="center"/>
    </xf>
    <xf numFmtId="175" fontId="35" fillId="0" borderId="10" xfId="1" applyNumberFormat="1" applyFont="1" applyBorder="1" applyAlignment="1">
      <alignment horizontal="center" wrapText="1"/>
    </xf>
    <xf numFmtId="170" fontId="8" fillId="0" borderId="10" xfId="5" applyNumberFormat="1" applyFont="1" applyFill="1" applyBorder="1" applyAlignment="1">
      <alignment vertical="center" wrapText="1"/>
    </xf>
    <xf numFmtId="170" fontId="8" fillId="0" borderId="10" xfId="5" applyNumberFormat="1" applyFont="1" applyBorder="1" applyAlignment="1">
      <alignment horizontal="left" vertical="center" wrapText="1" readingOrder="1"/>
    </xf>
    <xf numFmtId="0" fontId="42" fillId="0" borderId="10" xfId="0" applyFont="1" applyBorder="1" applyAlignment="1">
      <alignment horizontal="right" vertical="center" wrapText="1"/>
    </xf>
    <xf numFmtId="0" fontId="23" fillId="0" borderId="9" xfId="0" applyFont="1" applyFill="1" applyBorder="1" applyAlignment="1">
      <alignment horizontal="right" vertical="center" wrapText="1"/>
    </xf>
    <xf numFmtId="175" fontId="54" fillId="0" borderId="10" xfId="1" applyNumberFormat="1" applyFont="1" applyBorder="1" applyAlignment="1">
      <alignment horizontal="right" vertical="center" wrapText="1"/>
    </xf>
    <xf numFmtId="170" fontId="20" fillId="0" borderId="0" xfId="0" applyNumberFormat="1" applyFont="1" applyFill="1" applyBorder="1" applyAlignment="1">
      <alignment wrapText="1"/>
    </xf>
    <xf numFmtId="170" fontId="45" fillId="0" borderId="0" xfId="5" applyNumberFormat="1" applyFont="1" applyFill="1" applyBorder="1"/>
    <xf numFmtId="170" fontId="45" fillId="3" borderId="25" xfId="5" applyNumberFormat="1" applyFont="1" applyFill="1" applyBorder="1"/>
    <xf numFmtId="170" fontId="45" fillId="3" borderId="22" xfId="5" applyNumberFormat="1" applyFont="1" applyFill="1" applyBorder="1"/>
    <xf numFmtId="166" fontId="0" fillId="0" borderId="0" xfId="0" applyNumberFormat="1" applyFill="1" applyBorder="1"/>
    <xf numFmtId="170" fontId="8" fillId="0" borderId="10" xfId="5" applyNumberFormat="1" applyFont="1" applyFill="1" applyBorder="1" applyAlignment="1">
      <alignment horizontal="right" vertical="center" wrapText="1"/>
    </xf>
    <xf numFmtId="175" fontId="35" fillId="0" borderId="10" xfId="1" applyNumberFormat="1" applyFont="1" applyBorder="1" applyAlignment="1">
      <alignment horizontal="right" vertical="center" wrapText="1"/>
    </xf>
    <xf numFmtId="170" fontId="8" fillId="0" borderId="10" xfId="5" applyNumberFormat="1" applyFont="1" applyBorder="1" applyAlignment="1">
      <alignment horizontal="right" vertical="center" wrapText="1" readingOrder="2"/>
    </xf>
    <xf numFmtId="0" fontId="21" fillId="0" borderId="29" xfId="0" applyFont="1" applyFill="1" applyBorder="1" applyAlignment="1">
      <alignment vertical="center" wrapText="1" readingOrder="1"/>
    </xf>
    <xf numFmtId="0" fontId="14" fillId="0" borderId="0" xfId="0" applyFont="1" applyBorder="1"/>
    <xf numFmtId="0" fontId="23" fillId="3" borderId="9" xfId="0" applyFont="1" applyFill="1" applyBorder="1" applyAlignment="1">
      <alignment horizontal="right" vertical="center"/>
    </xf>
    <xf numFmtId="0" fontId="23" fillId="3" borderId="25" xfId="0" applyFont="1" applyFill="1" applyBorder="1" applyAlignment="1">
      <alignment horizontal="right" vertical="center"/>
    </xf>
    <xf numFmtId="0" fontId="20" fillId="3" borderId="8" xfId="3" applyFont="1" applyFill="1" applyBorder="1" applyAlignment="1">
      <alignment horizontal="right" vertical="center" wrapText="1" readingOrder="1"/>
    </xf>
    <xf numFmtId="170" fontId="20" fillId="3" borderId="37" xfId="3" applyNumberFormat="1" applyFont="1" applyFill="1" applyBorder="1" applyAlignment="1">
      <alignment wrapText="1"/>
    </xf>
    <xf numFmtId="0" fontId="19" fillId="0" borderId="8" xfId="3" applyFill="1" applyBorder="1"/>
    <xf numFmtId="170" fontId="20" fillId="0" borderId="37" xfId="3" applyNumberFormat="1" applyFont="1" applyFill="1" applyBorder="1"/>
    <xf numFmtId="170" fontId="20" fillId="3" borderId="29" xfId="3" applyNumberFormat="1" applyFont="1" applyFill="1" applyBorder="1"/>
    <xf numFmtId="0" fontId="24" fillId="3" borderId="8" xfId="3" applyFont="1" applyFill="1" applyBorder="1" applyAlignment="1">
      <alignment wrapText="1"/>
    </xf>
    <xf numFmtId="0" fontId="0" fillId="17" borderId="10" xfId="0" applyFill="1" applyBorder="1"/>
    <xf numFmtId="0" fontId="29" fillId="3" borderId="9" xfId="0" applyFont="1" applyFill="1" applyBorder="1" applyAlignment="1">
      <alignment horizontal="right" vertical="center" wrapText="1"/>
    </xf>
    <xf numFmtId="0" fontId="29" fillId="3" borderId="9" xfId="3" applyFont="1" applyFill="1" applyBorder="1" applyAlignment="1">
      <alignment horizontal="right" vertical="center" wrapText="1"/>
    </xf>
    <xf numFmtId="170" fontId="11" fillId="3" borderId="22" xfId="5" applyNumberFormat="1" applyFont="1" applyFill="1" applyBorder="1" applyAlignment="1">
      <alignment wrapText="1"/>
    </xf>
    <xf numFmtId="170" fontId="14" fillId="3" borderId="22" xfId="0" applyNumberFormat="1" applyFont="1" applyFill="1" applyBorder="1" applyAlignment="1">
      <alignment wrapText="1"/>
    </xf>
    <xf numFmtId="0" fontId="23" fillId="0" borderId="0" xfId="0" applyFont="1" applyFill="1" applyBorder="1" applyAlignment="1">
      <alignment horizontal="right" vertical="center" wrapText="1"/>
    </xf>
    <xf numFmtId="170" fontId="20" fillId="0" borderId="0" xfId="3" applyNumberFormat="1" applyFont="1" applyFill="1" applyBorder="1" applyAlignment="1">
      <alignment wrapText="1"/>
    </xf>
    <xf numFmtId="0" fontId="64" fillId="18" borderId="0" xfId="0" applyFont="1" applyFill="1" applyAlignment="1">
      <alignment horizontal="right" wrapText="1" readingOrder="2"/>
    </xf>
    <xf numFmtId="0" fontId="39" fillId="0" borderId="0" xfId="0" applyFont="1" applyAlignment="1">
      <alignment horizontal="right" wrapText="1" readingOrder="2"/>
    </xf>
    <xf numFmtId="0" fontId="23" fillId="3" borderId="10" xfId="0" applyFont="1" applyFill="1" applyBorder="1" applyAlignment="1">
      <alignment wrapText="1"/>
    </xf>
    <xf numFmtId="0" fontId="39" fillId="0" borderId="0" xfId="0" applyFont="1" applyAlignment="1">
      <alignment wrapText="1"/>
    </xf>
    <xf numFmtId="166" fontId="36" fillId="0" borderId="10" xfId="7" applyNumberFormat="1" applyFont="1" applyBorder="1" applyAlignment="1">
      <alignment horizontal="right" vertical="center" readingOrder="2"/>
    </xf>
    <xf numFmtId="166" fontId="8" fillId="0" borderId="10" xfId="1" applyNumberFormat="1" applyFont="1" applyBorder="1" applyAlignment="1">
      <alignment horizontal="right" vertical="center" readingOrder="2"/>
    </xf>
    <xf numFmtId="43" fontId="35" fillId="0" borderId="10" xfId="1" applyFont="1" applyBorder="1" applyAlignment="1">
      <alignment horizontal="center" wrapText="1"/>
    </xf>
    <xf numFmtId="43" fontId="20" fillId="0" borderId="10" xfId="1" applyFont="1" applyFill="1" applyBorder="1" applyAlignment="1">
      <alignment wrapText="1"/>
    </xf>
    <xf numFmtId="43" fontId="0" fillId="0" borderId="10" xfId="1" applyFont="1" applyBorder="1" applyAlignment="1">
      <alignment wrapText="1"/>
    </xf>
    <xf numFmtId="0" fontId="37" fillId="0" borderId="10" xfId="8" applyFont="1" applyBorder="1" applyAlignment="1">
      <alignment horizontal="right" vertical="center" readingOrder="2"/>
    </xf>
    <xf numFmtId="0" fontId="8" fillId="0" borderId="10" xfId="0" applyFont="1" applyBorder="1" applyAlignment="1">
      <alignment horizontal="right" readingOrder="2"/>
    </xf>
    <xf numFmtId="0" fontId="8" fillId="0" borderId="0" xfId="0" applyFont="1" applyFill="1" applyAlignment="1">
      <alignment horizontal="right" wrapText="1" readingOrder="2"/>
    </xf>
    <xf numFmtId="0" fontId="8" fillId="0" borderId="0" xfId="0" applyFont="1" applyAlignment="1">
      <alignment horizontal="right" wrapText="1" readingOrder="2"/>
    </xf>
    <xf numFmtId="167" fontId="0" fillId="0" borderId="0" xfId="0" applyNumberFormat="1" applyAlignment="1">
      <alignment horizontal="right" wrapText="1" readingOrder="2"/>
    </xf>
    <xf numFmtId="166" fontId="0" fillId="2" borderId="46" xfId="1" applyNumberFormat="1" applyFont="1" applyFill="1" applyBorder="1"/>
    <xf numFmtId="166" fontId="0" fillId="2" borderId="12" xfId="1" applyNumberFormat="1" applyFont="1" applyFill="1" applyBorder="1"/>
    <xf numFmtId="175" fontId="34" fillId="0" borderId="7" xfId="1" applyNumberFormat="1" applyFont="1" applyBorder="1" applyAlignment="1">
      <alignment horizontal="center"/>
    </xf>
    <xf numFmtId="175" fontId="34" fillId="0" borderId="8" xfId="1" applyNumberFormat="1" applyFont="1" applyBorder="1" applyAlignment="1">
      <alignment horizontal="center"/>
    </xf>
    <xf numFmtId="175" fontId="34" fillId="0" borderId="8" xfId="1" applyNumberFormat="1" applyFont="1" applyFill="1" applyBorder="1" applyAlignment="1"/>
    <xf numFmtId="175" fontId="51" fillId="0" borderId="8" xfId="1" applyNumberFormat="1" applyFont="1" applyBorder="1" applyAlignment="1">
      <alignment horizontal="right" vertical="center"/>
    </xf>
    <xf numFmtId="175" fontId="51" fillId="0" borderId="7" xfId="1" applyNumberFormat="1" applyFont="1" applyBorder="1" applyAlignment="1">
      <alignment horizontal="center"/>
    </xf>
    <xf numFmtId="166" fontId="51" fillId="0" borderId="8" xfId="1" applyNumberFormat="1" applyFont="1" applyBorder="1" applyAlignment="1">
      <alignment horizontal="center"/>
    </xf>
    <xf numFmtId="0" fontId="20" fillId="0" borderId="5" xfId="0" applyFont="1" applyBorder="1" applyAlignment="1">
      <alignment horizontal="center"/>
    </xf>
    <xf numFmtId="0" fontId="20" fillId="0" borderId="5" xfId="0" applyFont="1" applyBorder="1" applyAlignment="1">
      <alignment horizontal="center" wrapText="1"/>
    </xf>
    <xf numFmtId="0" fontId="20" fillId="0" borderId="6" xfId="0" applyFont="1" applyBorder="1" applyAlignment="1">
      <alignment horizontal="center" wrapText="1"/>
    </xf>
    <xf numFmtId="0" fontId="20" fillId="0" borderId="63" xfId="0" applyFont="1" applyBorder="1" applyAlignment="1">
      <alignment horizontal="center"/>
    </xf>
    <xf numFmtId="0" fontId="20" fillId="0" borderId="64" xfId="0" applyFont="1" applyBorder="1" applyAlignment="1">
      <alignment horizontal="center"/>
    </xf>
    <xf numFmtId="0" fontId="20" fillId="0" borderId="30" xfId="0" applyFont="1" applyBorder="1" applyAlignment="1">
      <alignment horizontal="center"/>
    </xf>
    <xf numFmtId="0" fontId="20" fillId="0" borderId="63" xfId="0" applyFont="1" applyBorder="1" applyAlignment="1">
      <alignment horizontal="center" wrapText="1"/>
    </xf>
    <xf numFmtId="0" fontId="20" fillId="0" borderId="41" xfId="0" applyFont="1" applyBorder="1" applyAlignment="1">
      <alignment horizontal="center" wrapText="1"/>
    </xf>
    <xf numFmtId="0" fontId="23" fillId="0" borderId="10" xfId="0" applyFont="1" applyFill="1" applyBorder="1" applyAlignment="1">
      <alignment horizontal="right" vertical="center"/>
    </xf>
    <xf numFmtId="170" fontId="34" fillId="0" borderId="0" xfId="1" applyNumberFormat="1" applyFont="1" applyAlignment="1"/>
    <xf numFmtId="170" fontId="34" fillId="0" borderId="0" xfId="0" applyNumberFormat="1" applyFont="1" applyAlignment="1"/>
    <xf numFmtId="0" fontId="14" fillId="13" borderId="15" xfId="0" applyFont="1" applyFill="1" applyBorder="1" applyAlignment="1"/>
    <xf numFmtId="0" fontId="20" fillId="13" borderId="16" xfId="0" applyFont="1" applyFill="1" applyBorder="1" applyAlignment="1">
      <alignment horizontal="right" vertical="center"/>
    </xf>
    <xf numFmtId="0" fontId="14" fillId="13" borderId="16" xfId="0" applyFont="1" applyFill="1" applyBorder="1" applyAlignment="1"/>
    <xf numFmtId="166" fontId="67" fillId="13" borderId="16" xfId="1" applyNumberFormat="1" applyFont="1" applyFill="1" applyBorder="1" applyAlignment="1">
      <alignment horizontal="center"/>
    </xf>
    <xf numFmtId="166" fontId="0" fillId="3" borderId="5" xfId="1" applyNumberFormat="1" applyFont="1" applyFill="1" applyBorder="1"/>
    <xf numFmtId="166" fontId="0" fillId="0" borderId="10" xfId="1" applyNumberFormat="1" applyFont="1" applyBorder="1"/>
    <xf numFmtId="166" fontId="19" fillId="3" borderId="10" xfId="1" applyNumberFormat="1" applyFont="1" applyFill="1" applyBorder="1"/>
    <xf numFmtId="0" fontId="20" fillId="0" borderId="8" xfId="3" applyFont="1" applyFill="1" applyBorder="1" applyAlignment="1">
      <alignment horizontal="right" vertical="center" wrapText="1" readingOrder="1"/>
    </xf>
    <xf numFmtId="0" fontId="0" fillId="0" borderId="20" xfId="0" applyBorder="1"/>
    <xf numFmtId="166" fontId="14" fillId="0" borderId="10" xfId="1" applyNumberFormat="1" applyFont="1" applyBorder="1"/>
    <xf numFmtId="0" fontId="0" fillId="3" borderId="55" xfId="0" applyFill="1" applyBorder="1" applyAlignment="1">
      <alignment horizontal="center" vertical="center"/>
    </xf>
    <xf numFmtId="0" fontId="0" fillId="3" borderId="42" xfId="0" applyFill="1" applyBorder="1"/>
    <xf numFmtId="0" fontId="0" fillId="3" borderId="62" xfId="0" applyFill="1" applyBorder="1" applyAlignment="1">
      <alignment horizontal="center" vertical="center"/>
    </xf>
    <xf numFmtId="0" fontId="0" fillId="3" borderId="26" xfId="0" applyFill="1" applyBorder="1"/>
    <xf numFmtId="0" fontId="14" fillId="2" borderId="22" xfId="0" applyFont="1" applyFill="1" applyBorder="1"/>
    <xf numFmtId="0" fontId="0" fillId="2" borderId="1" xfId="0" applyFill="1" applyBorder="1" applyAlignment="1">
      <alignment horizontal="center" vertical="center" wrapText="1"/>
    </xf>
    <xf numFmtId="0" fontId="0" fillId="2" borderId="36" xfId="0" applyFill="1" applyBorder="1" applyAlignment="1">
      <alignment horizontal="center" vertical="center" wrapText="1"/>
    </xf>
    <xf numFmtId="167" fontId="14" fillId="2" borderId="42" xfId="1" applyNumberFormat="1" applyFont="1" applyFill="1" applyBorder="1"/>
    <xf numFmtId="0" fontId="7" fillId="2" borderId="5" xfId="0" applyFont="1" applyFill="1" applyBorder="1"/>
    <xf numFmtId="0" fontId="0" fillId="6" borderId="22"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10" xfId="0" applyFill="1" applyBorder="1" applyAlignment="1">
      <alignment horizontal="center" vertical="center"/>
    </xf>
    <xf numFmtId="0" fontId="0" fillId="2" borderId="10" xfId="0" applyFill="1" applyBorder="1" applyAlignment="1">
      <alignment horizontal="center" vertical="center" wrapText="1"/>
    </xf>
    <xf numFmtId="0" fontId="0" fillId="3" borderId="21" xfId="0" applyFill="1" applyBorder="1" applyAlignment="1">
      <alignment horizontal="center" vertical="center" wrapText="1"/>
    </xf>
    <xf numFmtId="167" fontId="0" fillId="2" borderId="10" xfId="1" applyNumberFormat="1" applyFont="1" applyFill="1" applyBorder="1" applyAlignment="1">
      <alignment horizontal="center" vertical="center"/>
    </xf>
    <xf numFmtId="0" fontId="29" fillId="0" borderId="0" xfId="0" applyFont="1" applyFill="1" applyBorder="1" applyAlignment="1">
      <alignment horizontal="right" vertical="center" readingOrder="2"/>
    </xf>
    <xf numFmtId="0" fontId="6" fillId="6" borderId="10" xfId="0" applyFont="1" applyFill="1" applyBorder="1"/>
    <xf numFmtId="0" fontId="6" fillId="6" borderId="10" xfId="0" applyFont="1" applyFill="1" applyBorder="1" applyAlignment="1">
      <alignment horizontal="right"/>
    </xf>
    <xf numFmtId="0" fontId="0" fillId="6" borderId="5" xfId="0" applyFill="1" applyBorder="1" applyAlignment="1">
      <alignment horizontal="center" vertical="center" wrapText="1"/>
    </xf>
    <xf numFmtId="0" fontId="6" fillId="6" borderId="5" xfId="0" applyFont="1" applyFill="1" applyBorder="1"/>
    <xf numFmtId="0" fontId="20" fillId="0" borderId="5" xfId="0" applyFont="1" applyBorder="1" applyAlignment="1">
      <alignment horizontal="center"/>
    </xf>
    <xf numFmtId="0" fontId="5" fillId="0" borderId="0" xfId="9"/>
    <xf numFmtId="170" fontId="11" fillId="0" borderId="0" xfId="1" applyNumberFormat="1"/>
    <xf numFmtId="0" fontId="68" fillId="23" borderId="69" xfId="0" applyFont="1" applyFill="1" applyBorder="1" applyAlignment="1">
      <alignment horizontal="center" vertical="center"/>
    </xf>
    <xf numFmtId="0" fontId="68" fillId="23" borderId="27" xfId="0" applyFont="1" applyFill="1" applyBorder="1" applyAlignment="1">
      <alignment horizontal="center" vertical="center"/>
    </xf>
    <xf numFmtId="0" fontId="68" fillId="23" borderId="47" xfId="0" applyFont="1" applyFill="1" applyBorder="1" applyAlignment="1">
      <alignment horizontal="center" vertical="center"/>
    </xf>
    <xf numFmtId="0" fontId="68" fillId="6" borderId="69" xfId="0" applyFont="1" applyFill="1" applyBorder="1" applyAlignment="1">
      <alignment horizontal="center" vertical="center"/>
    </xf>
    <xf numFmtId="0" fontId="68" fillId="6" borderId="27" xfId="0" applyFont="1" applyFill="1" applyBorder="1" applyAlignment="1">
      <alignment horizontal="center" vertical="center"/>
    </xf>
    <xf numFmtId="170" fontId="68" fillId="23" borderId="27" xfId="1" applyNumberFormat="1" applyFont="1" applyFill="1" applyBorder="1" applyAlignment="1">
      <alignment horizontal="center" vertical="center"/>
    </xf>
    <xf numFmtId="170" fontId="68" fillId="23" borderId="47" xfId="1" applyNumberFormat="1" applyFont="1" applyFill="1" applyBorder="1" applyAlignment="1">
      <alignment horizontal="center" vertical="center"/>
    </xf>
    <xf numFmtId="0" fontId="18" fillId="4" borderId="15" xfId="9" applyFont="1" applyFill="1" applyBorder="1" applyAlignment="1">
      <alignment horizontal="center" vertical="center" wrapText="1" readingOrder="2"/>
    </xf>
    <xf numFmtId="0" fontId="15" fillId="4" borderId="16" xfId="9" applyFont="1" applyFill="1" applyBorder="1" applyAlignment="1">
      <alignment horizontal="center" vertical="center" wrapText="1" readingOrder="2"/>
    </xf>
    <xf numFmtId="167" fontId="15" fillId="4" borderId="16" xfId="9" applyNumberFormat="1" applyFont="1" applyFill="1" applyBorder="1" applyAlignment="1">
      <alignment horizontal="center" vertical="center" wrapText="1" readingOrder="2"/>
    </xf>
    <xf numFmtId="167" fontId="15" fillId="4" borderId="1" xfId="9" applyNumberFormat="1" applyFont="1" applyFill="1" applyBorder="1" applyAlignment="1">
      <alignment horizontal="center" vertical="center" wrapText="1" readingOrder="2"/>
    </xf>
    <xf numFmtId="0" fontId="18" fillId="4" borderId="69" xfId="9" applyFont="1" applyFill="1" applyBorder="1" applyAlignment="1">
      <alignment horizontal="center" vertical="center" wrapText="1" readingOrder="2"/>
    </xf>
    <xf numFmtId="0" fontId="18" fillId="4" borderId="32" xfId="9" applyFont="1" applyFill="1" applyBorder="1" applyAlignment="1">
      <alignment horizontal="center" vertical="center" wrapText="1" readingOrder="2"/>
    </xf>
    <xf numFmtId="0" fontId="18" fillId="4" borderId="28" xfId="9" applyFont="1" applyFill="1" applyBorder="1" applyAlignment="1">
      <alignment horizontal="center" vertical="center" wrapText="1" readingOrder="2"/>
    </xf>
    <xf numFmtId="0" fontId="15" fillId="4" borderId="32" xfId="9" applyFont="1" applyFill="1" applyBorder="1" applyAlignment="1">
      <alignment horizontal="center" vertical="center" wrapText="1" readingOrder="2"/>
    </xf>
    <xf numFmtId="0" fontId="15" fillId="4" borderId="19" xfId="9" applyFont="1" applyFill="1" applyBorder="1" applyAlignment="1">
      <alignment horizontal="center" vertical="center" wrapText="1" readingOrder="2"/>
    </xf>
    <xf numFmtId="170" fontId="15" fillId="4" borderId="33" xfId="1" applyNumberFormat="1" applyFont="1" applyFill="1" applyBorder="1" applyAlignment="1">
      <alignment horizontal="center" vertical="center" wrapText="1" readingOrder="2"/>
    </xf>
    <xf numFmtId="170" fontId="15" fillId="4" borderId="36" xfId="1" applyNumberFormat="1" applyFont="1" applyFill="1" applyBorder="1" applyAlignment="1">
      <alignment horizontal="center" vertical="center" wrapText="1" readingOrder="2"/>
    </xf>
    <xf numFmtId="170" fontId="15" fillId="4" borderId="56" xfId="1" applyNumberFormat="1" applyFont="1" applyFill="1" applyBorder="1" applyAlignment="1">
      <alignment horizontal="center" vertical="center" wrapText="1" readingOrder="2"/>
    </xf>
    <xf numFmtId="170" fontId="15" fillId="4" borderId="32" xfId="1" applyNumberFormat="1" applyFont="1" applyFill="1" applyBorder="1" applyAlignment="1">
      <alignment horizontal="right" vertical="center" wrapText="1" readingOrder="2"/>
    </xf>
    <xf numFmtId="170" fontId="15" fillId="4" borderId="16" xfId="1" applyNumberFormat="1" applyFont="1" applyFill="1" applyBorder="1" applyAlignment="1">
      <alignment horizontal="center" vertical="center" wrapText="1" readingOrder="2"/>
    </xf>
    <xf numFmtId="170" fontId="15" fillId="4" borderId="17" xfId="1" applyNumberFormat="1" applyFont="1" applyFill="1" applyBorder="1" applyAlignment="1">
      <alignment horizontal="center" vertical="center" wrapText="1" readingOrder="2"/>
    </xf>
    <xf numFmtId="170" fontId="15" fillId="4" borderId="32" xfId="1" applyNumberFormat="1" applyFont="1" applyFill="1" applyBorder="1" applyAlignment="1">
      <alignment horizontal="center" vertical="center" wrapText="1" readingOrder="2"/>
    </xf>
    <xf numFmtId="170" fontId="15" fillId="4" borderId="16" xfId="1" applyNumberFormat="1" applyFont="1" applyFill="1" applyBorder="1" applyAlignment="1">
      <alignment horizontal="right" vertical="center" wrapText="1" readingOrder="2"/>
    </xf>
    <xf numFmtId="170" fontId="15" fillId="4" borderId="2" xfId="1" applyNumberFormat="1" applyFont="1" applyFill="1" applyBorder="1" applyAlignment="1">
      <alignment horizontal="center" vertical="center" wrapText="1" readingOrder="2"/>
    </xf>
    <xf numFmtId="170" fontId="15" fillId="4" borderId="18" xfId="1" applyNumberFormat="1" applyFont="1" applyFill="1" applyBorder="1" applyAlignment="1">
      <alignment horizontal="center" vertical="center" wrapText="1" readingOrder="2"/>
    </xf>
    <xf numFmtId="170" fontId="15" fillId="4" borderId="3" xfId="1" applyNumberFormat="1" applyFont="1" applyFill="1" applyBorder="1" applyAlignment="1">
      <alignment horizontal="center" vertical="center" wrapText="1" readingOrder="2"/>
    </xf>
    <xf numFmtId="0" fontId="5" fillId="3" borderId="5" xfId="9" applyFill="1" applyBorder="1" applyAlignment="1">
      <alignment horizontal="center" vertical="center" wrapText="1"/>
    </xf>
    <xf numFmtId="0" fontId="5" fillId="3" borderId="5" xfId="9" applyFill="1" applyBorder="1"/>
    <xf numFmtId="167" fontId="0" fillId="3" borderId="5" xfId="10" applyNumberFormat="1" applyFont="1" applyFill="1" applyBorder="1"/>
    <xf numFmtId="0" fontId="13" fillId="3" borderId="18" xfId="9" applyFont="1" applyFill="1" applyBorder="1" applyAlignment="1">
      <alignment horizontal="center" vertical="center" textRotation="1" wrapText="1"/>
    </xf>
    <xf numFmtId="0" fontId="13" fillId="3" borderId="73" xfId="9" applyFont="1" applyFill="1" applyBorder="1" applyAlignment="1">
      <alignment horizontal="center" vertical="center" textRotation="1" wrapText="1"/>
    </xf>
    <xf numFmtId="0" fontId="13" fillId="3" borderId="48" xfId="9" applyFont="1" applyFill="1" applyBorder="1" applyAlignment="1">
      <alignment horizontal="center" vertical="center" textRotation="1" wrapText="1"/>
    </xf>
    <xf numFmtId="0" fontId="5" fillId="3" borderId="63" xfId="9" applyFill="1" applyBorder="1"/>
    <xf numFmtId="170" fontId="11" fillId="3" borderId="4" xfId="1" applyNumberFormat="1" applyFill="1" applyBorder="1"/>
    <xf numFmtId="170" fontId="0" fillId="3" borderId="5" xfId="1" applyNumberFormat="1" applyFont="1" applyFill="1" applyBorder="1"/>
    <xf numFmtId="170" fontId="0" fillId="3" borderId="6" xfId="1" applyNumberFormat="1" applyFont="1" applyFill="1" applyBorder="1"/>
    <xf numFmtId="170" fontId="0" fillId="3" borderId="59" xfId="1" applyNumberFormat="1" applyFont="1" applyFill="1" applyBorder="1"/>
    <xf numFmtId="170" fontId="0" fillId="3" borderId="64" xfId="1" applyNumberFormat="1" applyFont="1" applyFill="1" applyBorder="1"/>
    <xf numFmtId="170" fontId="0" fillId="3" borderId="41" xfId="1" applyNumberFormat="1" applyFont="1" applyFill="1" applyBorder="1"/>
    <xf numFmtId="170" fontId="11" fillId="3" borderId="30" xfId="1" applyNumberFormat="1" applyFill="1" applyBorder="1" applyAlignment="1">
      <alignment horizontal="right"/>
    </xf>
    <xf numFmtId="170" fontId="11" fillId="3" borderId="5" xfId="1" applyNumberFormat="1" applyFill="1" applyBorder="1"/>
    <xf numFmtId="170" fontId="0" fillId="3" borderId="30" xfId="1" applyNumberFormat="1" applyFont="1" applyFill="1" applyBorder="1"/>
    <xf numFmtId="170" fontId="11" fillId="3" borderId="5" xfId="1" applyNumberFormat="1" applyFill="1" applyBorder="1" applyAlignment="1">
      <alignment horizontal="right"/>
    </xf>
    <xf numFmtId="170" fontId="0" fillId="3" borderId="63" xfId="1" applyNumberFormat="1" applyFont="1" applyFill="1" applyBorder="1"/>
    <xf numFmtId="170" fontId="0" fillId="3" borderId="4" xfId="1" applyNumberFormat="1" applyFont="1" applyFill="1" applyBorder="1"/>
    <xf numFmtId="0" fontId="5" fillId="3" borderId="21" xfId="9" applyFill="1" applyBorder="1" applyAlignment="1">
      <alignment horizontal="center" vertical="center" wrapText="1"/>
    </xf>
    <xf numFmtId="0" fontId="5" fillId="3" borderId="21" xfId="9" applyFill="1" applyBorder="1"/>
    <xf numFmtId="167" fontId="0" fillId="3" borderId="21" xfId="10" applyNumberFormat="1" applyFont="1" applyFill="1" applyBorder="1"/>
    <xf numFmtId="0" fontId="13" fillId="3" borderId="66" xfId="9" applyFont="1" applyFill="1" applyBorder="1" applyAlignment="1">
      <alignment horizontal="center" vertical="center" textRotation="1" wrapText="1"/>
    </xf>
    <xf numFmtId="0" fontId="13" fillId="3" borderId="57" xfId="9" applyFont="1" applyFill="1" applyBorder="1" applyAlignment="1">
      <alignment horizontal="center" vertical="center" textRotation="1" wrapText="1"/>
    </xf>
    <xf numFmtId="0" fontId="13" fillId="3" borderId="54" xfId="9" applyFont="1" applyFill="1" applyBorder="1" applyAlignment="1">
      <alignment horizontal="center" vertical="center" textRotation="1" wrapText="1"/>
    </xf>
    <xf numFmtId="0" fontId="5" fillId="3" borderId="70" xfId="9" applyFill="1" applyBorder="1"/>
    <xf numFmtId="170" fontId="11" fillId="3" borderId="13" xfId="1" applyNumberFormat="1" applyFill="1" applyBorder="1"/>
    <xf numFmtId="170" fontId="0" fillId="3" borderId="21" xfId="1" applyNumberFormat="1" applyFont="1" applyFill="1" applyBorder="1"/>
    <xf numFmtId="170" fontId="0" fillId="3" borderId="14" xfId="1" applyNumberFormat="1" applyFont="1" applyFill="1" applyBorder="1"/>
    <xf numFmtId="170" fontId="0" fillId="3" borderId="74" xfId="1" applyNumberFormat="1" applyFont="1" applyFill="1" applyBorder="1"/>
    <xf numFmtId="170" fontId="0" fillId="3" borderId="51" xfId="1" applyNumberFormat="1" applyFont="1" applyFill="1" applyBorder="1"/>
    <xf numFmtId="170" fontId="0" fillId="3" borderId="49" xfId="1" applyNumberFormat="1" applyFont="1" applyFill="1" applyBorder="1"/>
    <xf numFmtId="170" fontId="11" fillId="3" borderId="72" xfId="1" applyNumberFormat="1" applyFill="1" applyBorder="1" applyAlignment="1">
      <alignment horizontal="right"/>
    </xf>
    <xf numFmtId="170" fontId="11" fillId="3" borderId="21" xfId="1" applyNumberFormat="1" applyFill="1" applyBorder="1"/>
    <xf numFmtId="170" fontId="0" fillId="3" borderId="72" xfId="1" applyNumberFormat="1" applyFont="1" applyFill="1" applyBorder="1"/>
    <xf numFmtId="170" fontId="11" fillId="3" borderId="21" xfId="1" applyNumberFormat="1" applyFill="1" applyBorder="1" applyAlignment="1">
      <alignment horizontal="right"/>
    </xf>
    <xf numFmtId="170" fontId="0" fillId="3" borderId="70" xfId="1" applyNumberFormat="1" applyFont="1" applyFill="1" applyBorder="1"/>
    <xf numFmtId="170" fontId="0" fillId="3" borderId="13" xfId="1" applyNumberFormat="1" applyFont="1" applyFill="1" applyBorder="1"/>
    <xf numFmtId="0" fontId="13" fillId="3" borderId="13" xfId="9" applyFont="1" applyFill="1" applyBorder="1" applyAlignment="1">
      <alignment horizontal="center" vertical="center" textRotation="1" wrapText="1"/>
    </xf>
    <xf numFmtId="0" fontId="13" fillId="3" borderId="72" xfId="9" applyFont="1" applyFill="1" applyBorder="1" applyAlignment="1">
      <alignment horizontal="center" vertical="center" textRotation="1" wrapText="1"/>
    </xf>
    <xf numFmtId="0" fontId="13" fillId="3" borderId="49" xfId="9" applyFont="1" applyFill="1" applyBorder="1" applyAlignment="1">
      <alignment horizontal="center" vertical="center" textRotation="1" wrapText="1"/>
    </xf>
    <xf numFmtId="0" fontId="5" fillId="3" borderId="10" xfId="9" applyFill="1" applyBorder="1" applyAlignment="1">
      <alignment horizontal="center" vertical="center" wrapText="1"/>
    </xf>
    <xf numFmtId="0" fontId="5" fillId="3" borderId="10" xfId="9" applyFill="1" applyBorder="1"/>
    <xf numFmtId="167" fontId="0" fillId="3" borderId="10" xfId="10" applyNumberFormat="1" applyFont="1" applyFill="1" applyBorder="1"/>
    <xf numFmtId="0" fontId="13" fillId="3" borderId="7" xfId="9" applyFont="1" applyFill="1" applyBorder="1" applyAlignment="1">
      <alignment horizontal="center" vertical="center" textRotation="1" wrapText="1"/>
    </xf>
    <xf numFmtId="0" fontId="13" fillId="3" borderId="42" xfId="9" applyFont="1" applyFill="1" applyBorder="1" applyAlignment="1">
      <alignment horizontal="center" vertical="center" textRotation="1" wrapText="1"/>
    </xf>
    <xf numFmtId="0" fontId="13" fillId="3" borderId="46" xfId="9" applyFont="1" applyFill="1" applyBorder="1" applyAlignment="1">
      <alignment horizontal="center" vertical="center" textRotation="1" wrapText="1"/>
    </xf>
    <xf numFmtId="0" fontId="5" fillId="3" borderId="62" xfId="9" applyFill="1" applyBorder="1"/>
    <xf numFmtId="170" fontId="11" fillId="3" borderId="9" xfId="1" applyNumberFormat="1" applyFill="1" applyBorder="1"/>
    <xf numFmtId="170" fontId="0" fillId="3" borderId="10" xfId="1" applyNumberFormat="1" applyFont="1" applyFill="1" applyBorder="1"/>
    <xf numFmtId="170" fontId="0" fillId="3" borderId="11" xfId="1" applyNumberFormat="1" applyFont="1" applyFill="1" applyBorder="1"/>
    <xf numFmtId="170" fontId="0" fillId="3" borderId="60" xfId="1" applyNumberFormat="1" applyFont="1" applyFill="1" applyBorder="1"/>
    <xf numFmtId="170" fontId="0" fillId="3" borderId="43" xfId="1" applyNumberFormat="1" applyFont="1" applyFill="1" applyBorder="1"/>
    <xf numFmtId="170" fontId="0" fillId="3" borderId="44" xfId="1" applyNumberFormat="1" applyFont="1" applyFill="1" applyBorder="1"/>
    <xf numFmtId="170" fontId="11" fillId="3" borderId="26" xfId="1" applyNumberFormat="1" applyFill="1" applyBorder="1" applyAlignment="1">
      <alignment horizontal="right"/>
    </xf>
    <xf numFmtId="170" fontId="11" fillId="3" borderId="10" xfId="1" applyNumberFormat="1" applyFill="1" applyBorder="1"/>
    <xf numFmtId="170" fontId="0" fillId="3" borderId="26" xfId="1" applyNumberFormat="1" applyFont="1" applyFill="1" applyBorder="1"/>
    <xf numFmtId="170" fontId="11" fillId="3" borderId="10" xfId="1" applyNumberFormat="1" applyFill="1" applyBorder="1" applyAlignment="1">
      <alignment horizontal="right"/>
    </xf>
    <xf numFmtId="170" fontId="0" fillId="3" borderId="62" xfId="1" applyNumberFormat="1" applyFont="1" applyFill="1" applyBorder="1"/>
    <xf numFmtId="170" fontId="0" fillId="3" borderId="9" xfId="1" applyNumberFormat="1" applyFont="1" applyFill="1" applyBorder="1"/>
    <xf numFmtId="0" fontId="5" fillId="3" borderId="10" xfId="9" applyFill="1" applyBorder="1" applyAlignment="1">
      <alignment horizontal="center" vertical="center"/>
    </xf>
    <xf numFmtId="0" fontId="13" fillId="3" borderId="9" xfId="9" applyFont="1" applyFill="1" applyBorder="1" applyAlignment="1">
      <alignment horizontal="center" vertical="center" textRotation="1" wrapText="1"/>
    </xf>
    <xf numFmtId="0" fontId="13" fillId="3" borderId="26" xfId="9" applyFont="1" applyFill="1" applyBorder="1" applyAlignment="1">
      <alignment horizontal="center" vertical="center" textRotation="1" wrapText="1"/>
    </xf>
    <xf numFmtId="0" fontId="13" fillId="3" borderId="44" xfId="9" applyFont="1" applyFill="1" applyBorder="1" applyAlignment="1">
      <alignment horizontal="center" vertical="center" textRotation="1" wrapText="1"/>
    </xf>
    <xf numFmtId="167" fontId="5" fillId="3" borderId="10" xfId="10" applyNumberFormat="1" applyFont="1" applyFill="1" applyBorder="1" applyAlignment="1"/>
    <xf numFmtId="170" fontId="5" fillId="3" borderId="62" xfId="1" applyNumberFormat="1" applyFont="1" applyFill="1" applyBorder="1" applyAlignment="1"/>
    <xf numFmtId="170" fontId="5" fillId="3" borderId="9" xfId="1" applyNumberFormat="1" applyFont="1" applyFill="1" applyBorder="1" applyAlignment="1"/>
    <xf numFmtId="170" fontId="5" fillId="3" borderId="11" xfId="1" applyNumberFormat="1" applyFont="1" applyFill="1" applyBorder="1" applyAlignment="1"/>
    <xf numFmtId="0" fontId="5" fillId="3" borderId="10" xfId="9" applyFill="1" applyBorder="1" applyAlignment="1">
      <alignment horizontal="right"/>
    </xf>
    <xf numFmtId="0" fontId="5" fillId="3" borderId="62" xfId="9" applyFill="1" applyBorder="1" applyAlignment="1">
      <alignment horizontal="right"/>
    </xf>
    <xf numFmtId="0" fontId="5" fillId="3" borderId="10" xfId="9" applyFont="1" applyFill="1" applyBorder="1" applyAlignment="1"/>
    <xf numFmtId="0" fontId="5" fillId="3" borderId="62" xfId="9" applyFont="1" applyFill="1" applyBorder="1" applyAlignment="1"/>
    <xf numFmtId="0" fontId="5" fillId="3" borderId="10" xfId="9" applyFont="1" applyFill="1" applyBorder="1"/>
    <xf numFmtId="0" fontId="5" fillId="3" borderId="62" xfId="9" applyFont="1" applyFill="1" applyBorder="1"/>
    <xf numFmtId="0" fontId="5" fillId="3" borderId="26" xfId="9" applyFill="1" applyBorder="1" applyAlignment="1">
      <alignment horizontal="center" vertical="center"/>
    </xf>
    <xf numFmtId="0" fontId="14" fillId="3" borderId="34" xfId="9" applyFont="1" applyFill="1" applyBorder="1" applyAlignment="1"/>
    <xf numFmtId="0" fontId="14" fillId="3" borderId="31" xfId="9" applyFont="1" applyFill="1" applyBorder="1" applyAlignment="1"/>
    <xf numFmtId="0" fontId="14" fillId="3" borderId="22" xfId="9" applyFont="1" applyFill="1" applyBorder="1" applyAlignment="1">
      <alignment horizontal="center"/>
    </xf>
    <xf numFmtId="167" fontId="14" fillId="3" borderId="22" xfId="10" applyNumberFormat="1" applyFont="1" applyFill="1" applyBorder="1"/>
    <xf numFmtId="0" fontId="14" fillId="0" borderId="0" xfId="9" applyFont="1"/>
    <xf numFmtId="0" fontId="13" fillId="3" borderId="61" xfId="9" applyFont="1" applyFill="1" applyBorder="1" applyAlignment="1">
      <alignment horizontal="center" vertical="center" textRotation="1" wrapText="1"/>
    </xf>
    <xf numFmtId="0" fontId="13" fillId="3" borderId="34" xfId="9" applyFont="1" applyFill="1" applyBorder="1" applyAlignment="1">
      <alignment horizontal="center" vertical="center" textRotation="1" wrapText="1"/>
    </xf>
    <xf numFmtId="0" fontId="13" fillId="3" borderId="38" xfId="9" applyFont="1" applyFill="1" applyBorder="1" applyAlignment="1">
      <alignment horizontal="center" vertical="center" textRotation="1" wrapText="1"/>
    </xf>
    <xf numFmtId="170" fontId="14" fillId="3" borderId="25" xfId="1" applyNumberFormat="1" applyFont="1" applyFill="1" applyBorder="1" applyAlignment="1">
      <alignment horizontal="center"/>
    </xf>
    <xf numFmtId="170" fontId="14" fillId="3" borderId="22" xfId="1" applyNumberFormat="1" applyFont="1" applyFill="1" applyBorder="1"/>
    <xf numFmtId="170" fontId="14" fillId="3" borderId="23" xfId="1" applyNumberFormat="1" applyFont="1" applyFill="1" applyBorder="1"/>
    <xf numFmtId="170" fontId="14" fillId="3" borderId="61" xfId="1" applyNumberFormat="1" applyFont="1" applyFill="1" applyBorder="1"/>
    <xf numFmtId="170" fontId="14" fillId="3" borderId="55" xfId="1" applyNumberFormat="1" applyFont="1" applyFill="1" applyBorder="1"/>
    <xf numFmtId="170" fontId="14" fillId="3" borderId="46" xfId="1" applyNumberFormat="1" applyFont="1" applyFill="1" applyBorder="1"/>
    <xf numFmtId="170" fontId="14" fillId="3" borderId="31" xfId="1" applyNumberFormat="1" applyFont="1" applyFill="1" applyBorder="1" applyAlignment="1">
      <alignment horizontal="right"/>
    </xf>
    <xf numFmtId="170" fontId="14" fillId="3" borderId="22" xfId="1" applyNumberFormat="1" applyFont="1" applyFill="1" applyBorder="1" applyAlignment="1">
      <alignment horizontal="center"/>
    </xf>
    <xf numFmtId="170" fontId="14" fillId="3" borderId="31" xfId="1" applyNumberFormat="1" applyFont="1" applyFill="1" applyBorder="1"/>
    <xf numFmtId="170" fontId="14" fillId="3" borderId="22" xfId="1" applyNumberFormat="1" applyFont="1" applyFill="1" applyBorder="1" applyAlignment="1">
      <alignment horizontal="right"/>
    </xf>
    <xf numFmtId="170" fontId="14" fillId="3" borderId="29" xfId="1" applyNumberFormat="1" applyFont="1" applyFill="1" applyBorder="1"/>
    <xf numFmtId="170" fontId="14" fillId="3" borderId="25" xfId="1" applyNumberFormat="1" applyFont="1" applyFill="1" applyBorder="1"/>
    <xf numFmtId="0" fontId="14" fillId="3" borderId="0" xfId="9" applyFont="1" applyFill="1" applyBorder="1" applyAlignment="1"/>
    <xf numFmtId="0" fontId="14" fillId="3" borderId="57" xfId="9" applyFont="1" applyFill="1" applyBorder="1" applyAlignment="1"/>
    <xf numFmtId="0" fontId="14" fillId="3" borderId="20" xfId="9" applyFont="1" applyFill="1" applyBorder="1" applyAlignment="1">
      <alignment horizontal="center"/>
    </xf>
    <xf numFmtId="167" fontId="14" fillId="3" borderId="20" xfId="10" applyNumberFormat="1" applyFont="1" applyFill="1" applyBorder="1"/>
    <xf numFmtId="0" fontId="14" fillId="3" borderId="71" xfId="0" applyFont="1" applyFill="1" applyBorder="1" applyAlignment="1">
      <alignment horizontal="center" vertical="center" textRotation="255"/>
    </xf>
    <xf numFmtId="0" fontId="14" fillId="3" borderId="2" xfId="0" applyFont="1" applyFill="1" applyBorder="1" applyAlignment="1">
      <alignment horizontal="center" vertical="center" textRotation="255"/>
    </xf>
    <xf numFmtId="0" fontId="14" fillId="3" borderId="3" xfId="0" applyFont="1" applyFill="1" applyBorder="1" applyAlignment="1">
      <alignment horizontal="center" vertical="center" textRotation="255"/>
    </xf>
    <xf numFmtId="0" fontId="0" fillId="3" borderId="63" xfId="0" applyFill="1" applyBorder="1" applyAlignment="1">
      <alignment wrapText="1"/>
    </xf>
    <xf numFmtId="170" fontId="14" fillId="3" borderId="57" xfId="1" applyNumberFormat="1" applyFont="1" applyFill="1" applyBorder="1"/>
    <xf numFmtId="170" fontId="14" fillId="3" borderId="20" xfId="1" applyNumberFormat="1" applyFont="1" applyFill="1" applyBorder="1" applyAlignment="1">
      <alignment horizontal="right"/>
    </xf>
    <xf numFmtId="170" fontId="14" fillId="3" borderId="53" xfId="1" applyNumberFormat="1" applyFont="1" applyFill="1" applyBorder="1"/>
    <xf numFmtId="0" fontId="14" fillId="3" borderId="58" xfId="0" applyFont="1" applyFill="1" applyBorder="1" applyAlignment="1">
      <alignment horizontal="center" vertical="center" textRotation="255"/>
    </xf>
    <xf numFmtId="0" fontId="14" fillId="3" borderId="53" xfId="0" applyFont="1" applyFill="1" applyBorder="1" applyAlignment="1">
      <alignment horizontal="center" vertical="center" textRotation="255"/>
    </xf>
    <xf numFmtId="0" fontId="14" fillId="3" borderId="24" xfId="0" applyFont="1" applyFill="1" applyBorder="1" applyAlignment="1">
      <alignment horizontal="center" vertical="center" textRotation="255"/>
    </xf>
    <xf numFmtId="0" fontId="0" fillId="3" borderId="70" xfId="0" applyFill="1" applyBorder="1" applyAlignment="1">
      <alignment wrapText="1"/>
    </xf>
    <xf numFmtId="0" fontId="0" fillId="3" borderId="62" xfId="0" applyFill="1" applyBorder="1" applyAlignment="1">
      <alignment wrapText="1"/>
    </xf>
    <xf numFmtId="0" fontId="0" fillId="3" borderId="62" xfId="0" applyFill="1" applyBorder="1" applyAlignment="1">
      <alignment horizontal="right" wrapText="1"/>
    </xf>
    <xf numFmtId="165" fontId="0" fillId="3" borderId="10" xfId="1" applyNumberFormat="1" applyFont="1" applyFill="1" applyBorder="1"/>
    <xf numFmtId="0" fontId="5" fillId="3" borderId="62" xfId="0" applyFont="1" applyFill="1" applyBorder="1" applyAlignment="1">
      <alignment wrapText="1"/>
    </xf>
    <xf numFmtId="0" fontId="0" fillId="3" borderId="26" xfId="0" applyFill="1" applyBorder="1" applyAlignment="1">
      <alignment horizontal="center" vertical="center"/>
    </xf>
    <xf numFmtId="0" fontId="0" fillId="3" borderId="55" xfId="0" applyFill="1" applyBorder="1" applyAlignment="1">
      <alignment wrapText="1"/>
    </xf>
    <xf numFmtId="170" fontId="0" fillId="3" borderId="65" xfId="1" applyNumberFormat="1" applyFont="1" applyFill="1" applyBorder="1"/>
    <xf numFmtId="170" fontId="0" fillId="3" borderId="42" xfId="1" applyNumberFormat="1" applyFont="1" applyFill="1" applyBorder="1"/>
    <xf numFmtId="170" fontId="0" fillId="3" borderId="8" xfId="1" applyNumberFormat="1" applyFont="1" applyFill="1" applyBorder="1"/>
    <xf numFmtId="170" fontId="0" fillId="3" borderId="12" xfId="1" applyNumberFormat="1" applyFont="1" applyFill="1" applyBorder="1"/>
    <xf numFmtId="170" fontId="0" fillId="3" borderId="7" xfId="1" applyNumberFormat="1" applyFont="1" applyFill="1" applyBorder="1"/>
    <xf numFmtId="0" fontId="14" fillId="3" borderId="74" xfId="0" applyFont="1" applyFill="1" applyBorder="1" applyAlignment="1">
      <alignment horizontal="center" vertical="center" textRotation="255"/>
    </xf>
    <xf numFmtId="0" fontId="14" fillId="3" borderId="70" xfId="0" applyFont="1" applyFill="1" applyBorder="1" applyAlignment="1">
      <alignment horizontal="center" vertical="center" textRotation="255"/>
    </xf>
    <xf numFmtId="0" fontId="14" fillId="3" borderId="14" xfId="0" applyFont="1" applyFill="1" applyBorder="1" applyAlignment="1">
      <alignment horizontal="center" vertical="center" textRotation="255"/>
    </xf>
    <xf numFmtId="0" fontId="14" fillId="3" borderId="61" xfId="0" applyFont="1" applyFill="1" applyBorder="1" applyAlignment="1"/>
    <xf numFmtId="0" fontId="14" fillId="3" borderId="38" xfId="0" applyFont="1" applyFill="1" applyBorder="1" applyAlignment="1"/>
    <xf numFmtId="0" fontId="14" fillId="3" borderId="34" xfId="0" applyFont="1" applyFill="1" applyBorder="1" applyAlignment="1">
      <alignment wrapText="1"/>
    </xf>
    <xf numFmtId="170" fontId="14" fillId="3" borderId="75" xfId="1" applyNumberFormat="1" applyFont="1" applyFill="1" applyBorder="1"/>
    <xf numFmtId="170" fontId="14" fillId="3" borderId="12" xfId="1" applyNumberFormat="1" applyFont="1" applyFill="1" applyBorder="1"/>
    <xf numFmtId="0" fontId="5" fillId="2" borderId="5" xfId="9" applyFont="1" applyFill="1" applyBorder="1" applyAlignment="1">
      <alignment horizontal="center" vertical="center"/>
    </xf>
    <xf numFmtId="0" fontId="5" fillId="2" borderId="5" xfId="9" applyFill="1" applyBorder="1"/>
    <xf numFmtId="167" fontId="0" fillId="2" borderId="5" xfId="10" applyNumberFormat="1" applyFont="1" applyFill="1" applyBorder="1" applyAlignment="1">
      <alignment vertical="center"/>
    </xf>
    <xf numFmtId="0" fontId="14" fillId="2" borderId="4" xfId="9" applyFont="1" applyFill="1" applyBorder="1" applyAlignment="1">
      <alignment horizontal="center" vertical="center"/>
    </xf>
    <xf numFmtId="0" fontId="14" fillId="2" borderId="30" xfId="9" applyFont="1" applyFill="1" applyBorder="1" applyAlignment="1">
      <alignment horizontal="center" vertical="center"/>
    </xf>
    <xf numFmtId="0" fontId="14" fillId="2" borderId="41" xfId="9" applyFont="1" applyFill="1" applyBorder="1" applyAlignment="1">
      <alignment horizontal="center" vertical="center"/>
    </xf>
    <xf numFmtId="0" fontId="5" fillId="2" borderId="63" xfId="9" applyFill="1" applyBorder="1"/>
    <xf numFmtId="170" fontId="11" fillId="2" borderId="4" xfId="1" applyNumberFormat="1" applyFill="1" applyBorder="1"/>
    <xf numFmtId="170" fontId="0" fillId="2" borderId="5" xfId="1" applyNumberFormat="1" applyFont="1" applyFill="1" applyBorder="1" applyAlignment="1">
      <alignment vertical="center"/>
    </xf>
    <xf numFmtId="170" fontId="0" fillId="2" borderId="6" xfId="1" applyNumberFormat="1" applyFont="1" applyFill="1" applyBorder="1" applyAlignment="1">
      <alignment vertical="center"/>
    </xf>
    <xf numFmtId="170" fontId="0" fillId="2" borderId="59" xfId="1" applyNumberFormat="1" applyFont="1" applyFill="1" applyBorder="1" applyAlignment="1">
      <alignment vertical="center"/>
    </xf>
    <xf numFmtId="170" fontId="0" fillId="2" borderId="10" xfId="1" applyNumberFormat="1" applyFont="1" applyFill="1" applyBorder="1" applyAlignment="1">
      <alignment vertical="center"/>
    </xf>
    <xf numFmtId="170" fontId="0" fillId="2" borderId="11" xfId="1" applyNumberFormat="1" applyFont="1" applyFill="1" applyBorder="1" applyAlignment="1">
      <alignment vertical="center"/>
    </xf>
    <xf numFmtId="170" fontId="11" fillId="2" borderId="30" xfId="1" applyNumberFormat="1" applyFill="1" applyBorder="1" applyAlignment="1">
      <alignment horizontal="right"/>
    </xf>
    <xf numFmtId="170" fontId="11" fillId="2" borderId="5" xfId="1" applyNumberFormat="1" applyFill="1" applyBorder="1"/>
    <xf numFmtId="170" fontId="5" fillId="2" borderId="5" xfId="1" applyNumberFormat="1" applyFont="1" applyFill="1" applyBorder="1"/>
    <xf numFmtId="170" fontId="5" fillId="2" borderId="6" xfId="1" applyNumberFormat="1" applyFont="1" applyFill="1" applyBorder="1"/>
    <xf numFmtId="170" fontId="11" fillId="2" borderId="30" xfId="1" applyNumberFormat="1" applyFill="1" applyBorder="1"/>
    <xf numFmtId="170" fontId="11" fillId="2" borderId="5" xfId="1" applyNumberFormat="1" applyFill="1" applyBorder="1" applyAlignment="1">
      <alignment horizontal="right"/>
    </xf>
    <xf numFmtId="170" fontId="5" fillId="2" borderId="63" xfId="1" applyNumberFormat="1" applyFont="1" applyFill="1" applyBorder="1"/>
    <xf numFmtId="170" fontId="0" fillId="2" borderId="4" xfId="1" applyNumberFormat="1" applyFont="1" applyFill="1" applyBorder="1" applyAlignment="1">
      <alignment vertical="center"/>
    </xf>
    <xf numFmtId="0" fontId="5" fillId="2" borderId="21" xfId="9" applyFont="1" applyFill="1" applyBorder="1" applyAlignment="1">
      <alignment horizontal="center" vertical="center"/>
    </xf>
    <xf numFmtId="0" fontId="5" fillId="2" borderId="21" xfId="9" applyFill="1" applyBorder="1"/>
    <xf numFmtId="167" fontId="0" fillId="2" borderId="21" xfId="10" applyNumberFormat="1" applyFont="1" applyFill="1" applyBorder="1" applyAlignment="1">
      <alignment vertical="center"/>
    </xf>
    <xf numFmtId="0" fontId="14" fillId="2" borderId="13" xfId="9" applyFont="1" applyFill="1" applyBorder="1" applyAlignment="1">
      <alignment horizontal="center" vertical="center"/>
    </xf>
    <xf numFmtId="0" fontId="14" fillId="2" borderId="72" xfId="9" applyFont="1" applyFill="1" applyBorder="1" applyAlignment="1">
      <alignment horizontal="center" vertical="center"/>
    </xf>
    <xf numFmtId="0" fontId="14" fillId="2" borderId="49" xfId="9" applyFont="1" applyFill="1" applyBorder="1" applyAlignment="1">
      <alignment horizontal="center" vertical="center"/>
    </xf>
    <xf numFmtId="0" fontId="0" fillId="2" borderId="63" xfId="9" applyFont="1" applyFill="1" applyBorder="1"/>
    <xf numFmtId="0" fontId="0" fillId="2" borderId="4" xfId="0" applyFill="1" applyBorder="1"/>
    <xf numFmtId="170" fontId="5" fillId="2" borderId="10" xfId="1" applyNumberFormat="1" applyFont="1" applyFill="1" applyBorder="1"/>
    <xf numFmtId="170" fontId="0" fillId="2" borderId="14" xfId="1" applyNumberFormat="1" applyFont="1" applyFill="1" applyBorder="1" applyAlignment="1">
      <alignment vertical="center"/>
    </xf>
    <xf numFmtId="170" fontId="0" fillId="2" borderId="74" xfId="1" applyNumberFormat="1" applyFont="1" applyFill="1" applyBorder="1" applyAlignment="1">
      <alignment vertical="center"/>
    </xf>
    <xf numFmtId="170" fontId="11" fillId="2" borderId="72" xfId="1" applyNumberFormat="1" applyFill="1" applyBorder="1" applyAlignment="1">
      <alignment horizontal="right"/>
    </xf>
    <xf numFmtId="170" fontId="11" fillId="2" borderId="21" xfId="1" applyNumberFormat="1" applyFill="1" applyBorder="1"/>
    <xf numFmtId="170" fontId="5" fillId="2" borderId="21" xfId="1" applyNumberFormat="1" applyFont="1" applyFill="1" applyBorder="1"/>
    <xf numFmtId="170" fontId="5" fillId="2" borderId="14" xfId="1" applyNumberFormat="1" applyFont="1" applyFill="1" applyBorder="1"/>
    <xf numFmtId="170" fontId="11" fillId="2" borderId="72" xfId="1" applyNumberFormat="1" applyFill="1" applyBorder="1"/>
    <xf numFmtId="170" fontId="11" fillId="2" borderId="21" xfId="1" applyNumberFormat="1" applyFill="1" applyBorder="1" applyAlignment="1">
      <alignment horizontal="right"/>
    </xf>
    <xf numFmtId="170" fontId="5" fillId="2" borderId="70" xfId="1" applyNumberFormat="1" applyFont="1" applyFill="1" applyBorder="1"/>
    <xf numFmtId="170" fontId="0" fillId="2" borderId="13" xfId="1" applyNumberFormat="1" applyFont="1" applyFill="1" applyBorder="1" applyAlignment="1">
      <alignment vertical="center"/>
    </xf>
    <xf numFmtId="0" fontId="5" fillId="2" borderId="10" xfId="9" applyFont="1" applyFill="1" applyBorder="1" applyAlignment="1">
      <alignment horizontal="center" vertical="center"/>
    </xf>
    <xf numFmtId="0" fontId="5" fillId="2" borderId="10" xfId="9" applyFill="1" applyBorder="1"/>
    <xf numFmtId="167" fontId="0" fillId="2" borderId="10" xfId="10" applyNumberFormat="1" applyFont="1" applyFill="1" applyBorder="1" applyAlignment="1">
      <alignment vertical="center"/>
    </xf>
    <xf numFmtId="0" fontId="14" fillId="2" borderId="9" xfId="9" applyFont="1" applyFill="1" applyBorder="1" applyAlignment="1">
      <alignment horizontal="center" vertical="center"/>
    </xf>
    <xf numFmtId="0" fontId="14" fillId="2" borderId="26" xfId="9" applyFont="1" applyFill="1" applyBorder="1" applyAlignment="1">
      <alignment horizontal="center" vertical="center"/>
    </xf>
    <xf numFmtId="0" fontId="14" fillId="2" borderId="44" xfId="9" applyFont="1" applyFill="1" applyBorder="1" applyAlignment="1">
      <alignment horizontal="center" vertical="center"/>
    </xf>
    <xf numFmtId="0" fontId="5" fillId="2" borderId="62" xfId="9" applyFill="1" applyBorder="1"/>
    <xf numFmtId="170" fontId="5" fillId="2" borderId="11" xfId="1" applyNumberFormat="1" applyFont="1" applyFill="1" applyBorder="1"/>
    <xf numFmtId="170" fontId="5" fillId="2" borderId="60" xfId="1" applyNumberFormat="1" applyFont="1" applyFill="1" applyBorder="1"/>
    <xf numFmtId="170" fontId="11" fillId="2" borderId="26" xfId="1" applyNumberFormat="1" applyFill="1" applyBorder="1" applyAlignment="1">
      <alignment horizontal="right"/>
    </xf>
    <xf numFmtId="170" fontId="11" fillId="2" borderId="10" xfId="1" applyNumberFormat="1" applyFill="1" applyBorder="1"/>
    <xf numFmtId="170" fontId="11" fillId="2" borderId="26" xfId="1" applyNumberFormat="1" applyFill="1" applyBorder="1"/>
    <xf numFmtId="170" fontId="11" fillId="2" borderId="10" xfId="1" applyNumberFormat="1" applyFill="1" applyBorder="1" applyAlignment="1">
      <alignment horizontal="right"/>
    </xf>
    <xf numFmtId="170" fontId="5" fillId="2" borderId="62" xfId="1" applyNumberFormat="1" applyFont="1" applyFill="1" applyBorder="1"/>
    <xf numFmtId="170" fontId="0" fillId="2" borderId="9" xfId="1" applyNumberFormat="1" applyFont="1" applyFill="1" applyBorder="1" applyAlignment="1">
      <alignment vertical="center"/>
    </xf>
    <xf numFmtId="167" fontId="0" fillId="2" borderId="26" xfId="1" applyNumberFormat="1" applyFont="1" applyFill="1" applyBorder="1"/>
    <xf numFmtId="0" fontId="0" fillId="2" borderId="62" xfId="0" applyFill="1" applyBorder="1"/>
    <xf numFmtId="170" fontId="0" fillId="2" borderId="10" xfId="1" applyNumberFormat="1" applyFont="1" applyFill="1" applyBorder="1"/>
    <xf numFmtId="170" fontId="0" fillId="2" borderId="11" xfId="1" applyNumberFormat="1" applyFont="1" applyFill="1" applyBorder="1"/>
    <xf numFmtId="170" fontId="0" fillId="2" borderId="60" xfId="1" applyNumberFormat="1" applyFont="1" applyFill="1" applyBorder="1"/>
    <xf numFmtId="170" fontId="0" fillId="2" borderId="44" xfId="1" applyNumberFormat="1" applyFont="1" applyFill="1" applyBorder="1"/>
    <xf numFmtId="170" fontId="0" fillId="0" borderId="0" xfId="1" applyNumberFormat="1" applyFont="1"/>
    <xf numFmtId="170" fontId="0" fillId="2" borderId="9" xfId="1" applyNumberFormat="1" applyFont="1" applyFill="1" applyBorder="1"/>
    <xf numFmtId="167" fontId="0" fillId="2" borderId="0" xfId="1" applyNumberFormat="1" applyFont="1" applyFill="1" applyBorder="1" applyAlignment="1">
      <alignment horizontal="center" vertical="center"/>
    </xf>
    <xf numFmtId="170" fontId="0" fillId="2" borderId="26" xfId="1" applyNumberFormat="1" applyFont="1" applyFill="1" applyBorder="1"/>
    <xf numFmtId="170" fontId="0" fillId="2" borderId="11" xfId="1" applyNumberFormat="1" applyFont="1" applyFill="1" applyBorder="1" applyAlignment="1">
      <alignment horizontal="center" vertical="center"/>
    </xf>
    <xf numFmtId="170" fontId="0" fillId="2" borderId="62" xfId="1" applyNumberFormat="1" applyFont="1" applyFill="1" applyBorder="1"/>
    <xf numFmtId="0" fontId="5" fillId="2" borderId="10" xfId="9" applyFill="1" applyBorder="1" applyAlignment="1">
      <alignment horizontal="center" vertical="center" wrapText="1"/>
    </xf>
    <xf numFmtId="0" fontId="5" fillId="2" borderId="10" xfId="9" applyFill="1" applyBorder="1" applyAlignment="1">
      <alignment horizontal="right"/>
    </xf>
    <xf numFmtId="0" fontId="5" fillId="2" borderId="62" xfId="9" applyFill="1" applyBorder="1" applyAlignment="1">
      <alignment horizontal="right"/>
    </xf>
    <xf numFmtId="0" fontId="5" fillId="2" borderId="26" xfId="9" applyFill="1" applyBorder="1" applyAlignment="1">
      <alignment horizontal="center" vertical="center" wrapText="1"/>
    </xf>
    <xf numFmtId="0" fontId="0" fillId="2" borderId="62" xfId="0" applyFill="1" applyBorder="1" applyAlignment="1">
      <alignment horizontal="right" wrapText="1"/>
    </xf>
    <xf numFmtId="0" fontId="5" fillId="2" borderId="10" xfId="9" applyFill="1" applyBorder="1" applyAlignment="1">
      <alignment horizontal="center" vertical="center"/>
    </xf>
    <xf numFmtId="0" fontId="5" fillId="2" borderId="26" xfId="9" applyFill="1" applyBorder="1" applyAlignment="1">
      <alignment horizontal="center" vertical="center"/>
    </xf>
    <xf numFmtId="0" fontId="5" fillId="2" borderId="10" xfId="9" applyFill="1" applyBorder="1" applyAlignment="1">
      <alignment vertical="center" wrapText="1"/>
    </xf>
    <xf numFmtId="0" fontId="5" fillId="2" borderId="26" xfId="9" applyFill="1" applyBorder="1" applyAlignment="1">
      <alignment vertical="center" wrapText="1"/>
    </xf>
    <xf numFmtId="0" fontId="5" fillId="2" borderId="8" xfId="9" applyFill="1" applyBorder="1" applyAlignment="1">
      <alignment vertical="center" wrapText="1"/>
    </xf>
    <xf numFmtId="0" fontId="5" fillId="2" borderId="8" xfId="9" applyFill="1" applyBorder="1" applyAlignment="1">
      <alignment horizontal="right"/>
    </xf>
    <xf numFmtId="0" fontId="5" fillId="2" borderId="8" xfId="9" applyFill="1" applyBorder="1"/>
    <xf numFmtId="167" fontId="0" fillId="2" borderId="8" xfId="10" applyNumberFormat="1" applyFont="1" applyFill="1" applyBorder="1" applyAlignment="1">
      <alignment vertical="center"/>
    </xf>
    <xf numFmtId="0" fontId="14" fillId="2" borderId="7" xfId="9" applyFont="1" applyFill="1" applyBorder="1" applyAlignment="1">
      <alignment horizontal="center" vertical="center"/>
    </xf>
    <xf numFmtId="0" fontId="14" fillId="2" borderId="42" xfId="9" applyFont="1" applyFill="1" applyBorder="1" applyAlignment="1">
      <alignment horizontal="center" vertical="center"/>
    </xf>
    <xf numFmtId="0" fontId="14" fillId="2" borderId="46" xfId="9" applyFont="1" applyFill="1" applyBorder="1" applyAlignment="1">
      <alignment horizontal="center" vertical="center"/>
    </xf>
    <xf numFmtId="0" fontId="5" fillId="2" borderId="42" xfId="9" applyFill="1" applyBorder="1" applyAlignment="1">
      <alignment vertical="center" wrapText="1"/>
    </xf>
    <xf numFmtId="0" fontId="5" fillId="2" borderId="8" xfId="9" applyFill="1" applyBorder="1" applyAlignment="1">
      <alignment horizontal="center" vertical="center" wrapText="1"/>
    </xf>
    <xf numFmtId="0" fontId="5" fillId="2" borderId="37" xfId="9" applyFill="1" applyBorder="1" applyAlignment="1">
      <alignment horizontal="right"/>
    </xf>
    <xf numFmtId="170" fontId="11" fillId="2" borderId="7" xfId="1" applyNumberFormat="1" applyFill="1" applyBorder="1"/>
    <xf numFmtId="170" fontId="0" fillId="2" borderId="8" xfId="1" applyNumberFormat="1" applyFont="1" applyFill="1" applyBorder="1" applyAlignment="1">
      <alignment vertical="center"/>
    </xf>
    <xf numFmtId="170" fontId="0" fillId="2" borderId="12" xfId="1" applyNumberFormat="1" applyFont="1" applyFill="1" applyBorder="1" applyAlignment="1">
      <alignment vertical="center"/>
    </xf>
    <xf numFmtId="170" fontId="0" fillId="2" borderId="65" xfId="1" applyNumberFormat="1" applyFont="1" applyFill="1" applyBorder="1" applyAlignment="1">
      <alignment vertical="center"/>
    </xf>
    <xf numFmtId="170" fontId="11" fillId="2" borderId="42" xfId="1" applyNumberFormat="1" applyFill="1" applyBorder="1" applyAlignment="1">
      <alignment horizontal="right"/>
    </xf>
    <xf numFmtId="170" fontId="11" fillId="2" borderId="8" xfId="1" applyNumberFormat="1" applyFill="1" applyBorder="1"/>
    <xf numFmtId="170" fontId="5" fillId="2" borderId="8" xfId="1" applyNumberFormat="1" applyFont="1" applyFill="1" applyBorder="1"/>
    <xf numFmtId="170" fontId="5" fillId="2" borderId="12" xfId="1" applyNumberFormat="1" applyFont="1" applyFill="1" applyBorder="1"/>
    <xf numFmtId="170" fontId="11" fillId="2" borderId="42" xfId="1" applyNumberFormat="1" applyFill="1" applyBorder="1"/>
    <xf numFmtId="170" fontId="11" fillId="2" borderId="8" xfId="1" applyNumberFormat="1" applyFill="1" applyBorder="1" applyAlignment="1">
      <alignment horizontal="right"/>
    </xf>
    <xf numFmtId="170" fontId="5" fillId="2" borderId="37" xfId="1" applyNumberFormat="1" applyFont="1" applyFill="1" applyBorder="1"/>
    <xf numFmtId="170" fontId="0" fillId="2" borderId="7" xfId="1" applyNumberFormat="1" applyFont="1" applyFill="1" applyBorder="1" applyAlignment="1">
      <alignment vertical="center"/>
    </xf>
    <xf numFmtId="0" fontId="0" fillId="2" borderId="62" xfId="0" applyFill="1" applyBorder="1" applyAlignment="1"/>
    <xf numFmtId="0" fontId="14" fillId="2" borderId="22" xfId="9" applyFont="1" applyFill="1" applyBorder="1" applyAlignment="1">
      <alignment horizontal="center"/>
    </xf>
    <xf numFmtId="0" fontId="14" fillId="2" borderId="22" xfId="9" applyFont="1" applyFill="1" applyBorder="1" applyAlignment="1">
      <alignment horizontal="right"/>
    </xf>
    <xf numFmtId="167" fontId="14" fillId="2" borderId="22" xfId="10" applyNumberFormat="1" applyFont="1" applyFill="1" applyBorder="1"/>
    <xf numFmtId="0" fontId="14" fillId="2" borderId="25" xfId="9" applyFont="1" applyFill="1" applyBorder="1" applyAlignment="1">
      <alignment horizontal="center" vertical="center"/>
    </xf>
    <xf numFmtId="0" fontId="14" fillId="2" borderId="31" xfId="9" applyFont="1" applyFill="1" applyBorder="1" applyAlignment="1">
      <alignment horizontal="center" vertical="center"/>
    </xf>
    <xf numFmtId="0" fontId="14" fillId="2" borderId="38" xfId="9" applyFont="1" applyFill="1" applyBorder="1" applyAlignment="1">
      <alignment horizontal="center" vertical="center"/>
    </xf>
    <xf numFmtId="0" fontId="14" fillId="2" borderId="31" xfId="9" applyFont="1" applyFill="1" applyBorder="1" applyAlignment="1">
      <alignment horizontal="center"/>
    </xf>
    <xf numFmtId="0" fontId="14" fillId="2" borderId="29" xfId="9" applyFont="1" applyFill="1" applyBorder="1" applyAlignment="1">
      <alignment horizontal="right"/>
    </xf>
    <xf numFmtId="170" fontId="14" fillId="2" borderId="25" xfId="1" applyNumberFormat="1" applyFont="1" applyFill="1" applyBorder="1" applyAlignment="1">
      <alignment horizontal="center"/>
    </xf>
    <xf numFmtId="170" fontId="14" fillId="2" borderId="22" xfId="1" applyNumberFormat="1" applyFont="1" applyFill="1" applyBorder="1"/>
    <xf numFmtId="170" fontId="14" fillId="2" borderId="23" xfId="1" applyNumberFormat="1" applyFont="1" applyFill="1" applyBorder="1"/>
    <xf numFmtId="170" fontId="14" fillId="2" borderId="75" xfId="1" applyNumberFormat="1" applyFont="1" applyFill="1" applyBorder="1"/>
    <xf numFmtId="170" fontId="14" fillId="2" borderId="31" xfId="1" applyNumberFormat="1" applyFont="1" applyFill="1" applyBorder="1"/>
    <xf numFmtId="170" fontId="14" fillId="2" borderId="29" xfId="1" applyNumberFormat="1" applyFont="1" applyFill="1" applyBorder="1"/>
    <xf numFmtId="170" fontId="14" fillId="2" borderId="25" xfId="1" applyNumberFormat="1" applyFont="1" applyFill="1" applyBorder="1"/>
    <xf numFmtId="0" fontId="5" fillId="5" borderId="5" xfId="9" applyFont="1" applyFill="1" applyBorder="1" applyAlignment="1">
      <alignment horizontal="center" vertical="center"/>
    </xf>
    <xf numFmtId="0" fontId="5" fillId="5" borderId="5" xfId="9" applyFill="1" applyBorder="1"/>
    <xf numFmtId="167" fontId="0" fillId="5" borderId="5" xfId="10" applyNumberFormat="1" applyFont="1" applyFill="1" applyBorder="1"/>
    <xf numFmtId="0" fontId="14" fillId="5" borderId="4" xfId="9" applyFont="1" applyFill="1" applyBorder="1" applyAlignment="1">
      <alignment horizontal="center" vertical="center"/>
    </xf>
    <xf numFmtId="0" fontId="14" fillId="5" borderId="30" xfId="9" applyFont="1" applyFill="1" applyBorder="1" applyAlignment="1">
      <alignment horizontal="center" vertical="center"/>
    </xf>
    <xf numFmtId="0" fontId="14" fillId="5" borderId="41" xfId="9" applyFont="1" applyFill="1" applyBorder="1" applyAlignment="1">
      <alignment horizontal="center" vertical="center"/>
    </xf>
    <xf numFmtId="0" fontId="5" fillId="5" borderId="30" xfId="9" applyFont="1" applyFill="1" applyBorder="1" applyAlignment="1">
      <alignment horizontal="center" vertical="center"/>
    </xf>
    <xf numFmtId="0" fontId="5" fillId="5" borderId="63" xfId="9" applyFill="1" applyBorder="1"/>
    <xf numFmtId="170" fontId="11" fillId="5" borderId="4" xfId="1" applyNumberFormat="1" applyFill="1" applyBorder="1"/>
    <xf numFmtId="170" fontId="0" fillId="5" borderId="5" xfId="1" applyNumberFormat="1" applyFont="1" applyFill="1" applyBorder="1"/>
    <xf numFmtId="170" fontId="0" fillId="5" borderId="6" xfId="1" applyNumberFormat="1" applyFont="1" applyFill="1" applyBorder="1"/>
    <xf numFmtId="170" fontId="0" fillId="5" borderId="59" xfId="1" applyNumberFormat="1" applyFont="1" applyFill="1" applyBorder="1"/>
    <xf numFmtId="170" fontId="0" fillId="5" borderId="64" xfId="1" applyNumberFormat="1" applyFont="1" applyFill="1" applyBorder="1"/>
    <xf numFmtId="170" fontId="0" fillId="5" borderId="41" xfId="1" applyNumberFormat="1" applyFont="1" applyFill="1" applyBorder="1"/>
    <xf numFmtId="170" fontId="11" fillId="5" borderId="30" xfId="1" applyNumberFormat="1" applyFill="1" applyBorder="1" applyAlignment="1">
      <alignment horizontal="right"/>
    </xf>
    <xf numFmtId="170" fontId="11" fillId="5" borderId="5" xfId="1" applyNumberFormat="1" applyFill="1" applyBorder="1"/>
    <xf numFmtId="170" fontId="5" fillId="5" borderId="5" xfId="1" applyNumberFormat="1" applyFont="1" applyFill="1" applyBorder="1"/>
    <xf numFmtId="170" fontId="5" fillId="5" borderId="6" xfId="1" applyNumberFormat="1" applyFont="1" applyFill="1" applyBorder="1"/>
    <xf numFmtId="170" fontId="11" fillId="5" borderId="30" xfId="1" applyNumberFormat="1" applyFill="1" applyBorder="1"/>
    <xf numFmtId="170" fontId="11" fillId="5" borderId="5" xfId="1" applyNumberFormat="1" applyFill="1" applyBorder="1" applyAlignment="1">
      <alignment horizontal="right"/>
    </xf>
    <xf numFmtId="170" fontId="5" fillId="5" borderId="63" xfId="1" applyNumberFormat="1" applyFont="1" applyFill="1" applyBorder="1"/>
    <xf numFmtId="170" fontId="0" fillId="5" borderId="4" xfId="1" applyNumberFormat="1" applyFont="1" applyFill="1" applyBorder="1"/>
    <xf numFmtId="0" fontId="5" fillId="5" borderId="21" xfId="9" applyFont="1" applyFill="1" applyBorder="1" applyAlignment="1">
      <alignment horizontal="center" vertical="center"/>
    </xf>
    <xf numFmtId="0" fontId="5" fillId="5" borderId="21" xfId="9" applyFill="1" applyBorder="1"/>
    <xf numFmtId="167" fontId="0" fillId="5" borderId="21" xfId="10" applyNumberFormat="1" applyFont="1" applyFill="1" applyBorder="1"/>
    <xf numFmtId="0" fontId="14" fillId="5" borderId="13" xfId="9" applyFont="1" applyFill="1" applyBorder="1" applyAlignment="1">
      <alignment horizontal="center" vertical="center"/>
    </xf>
    <xf numFmtId="0" fontId="14" fillId="5" borderId="72" xfId="9" applyFont="1" applyFill="1" applyBorder="1" applyAlignment="1">
      <alignment horizontal="center" vertical="center"/>
    </xf>
    <xf numFmtId="0" fontId="14" fillId="5" borderId="49" xfId="9" applyFont="1" applyFill="1" applyBorder="1" applyAlignment="1">
      <alignment horizontal="center" vertical="center"/>
    </xf>
    <xf numFmtId="0" fontId="5" fillId="5" borderId="72" xfId="9" applyFont="1" applyFill="1" applyBorder="1" applyAlignment="1">
      <alignment horizontal="center" vertical="center"/>
    </xf>
    <xf numFmtId="0" fontId="5" fillId="5" borderId="70" xfId="9" applyFill="1" applyBorder="1"/>
    <xf numFmtId="0" fontId="0" fillId="5" borderId="9" xfId="0" applyFill="1" applyBorder="1"/>
    <xf numFmtId="170" fontId="0" fillId="5" borderId="14" xfId="1" applyNumberFormat="1" applyFont="1" applyFill="1" applyBorder="1"/>
    <xf numFmtId="170" fontId="0" fillId="5" borderId="74" xfId="1" applyNumberFormat="1" applyFont="1" applyFill="1" applyBorder="1"/>
    <xf numFmtId="170" fontId="0" fillId="5" borderId="51" xfId="1" applyNumberFormat="1" applyFont="1" applyFill="1" applyBorder="1"/>
    <xf numFmtId="170" fontId="0" fillId="5" borderId="49" xfId="1" applyNumberFormat="1" applyFont="1" applyFill="1" applyBorder="1"/>
    <xf numFmtId="170" fontId="11" fillId="5" borderId="72" xfId="1" applyNumberFormat="1" applyFill="1" applyBorder="1" applyAlignment="1">
      <alignment horizontal="right"/>
    </xf>
    <xf numFmtId="170" fontId="11" fillId="5" borderId="21" xfId="1" applyNumberFormat="1" applyFill="1" applyBorder="1"/>
    <xf numFmtId="170" fontId="5" fillId="5" borderId="21" xfId="1" applyNumberFormat="1" applyFont="1" applyFill="1" applyBorder="1"/>
    <xf numFmtId="170" fontId="5" fillId="5" borderId="14" xfId="1" applyNumberFormat="1" applyFont="1" applyFill="1" applyBorder="1"/>
    <xf numFmtId="170" fontId="11" fillId="5" borderId="72" xfId="1" applyNumberFormat="1" applyFill="1" applyBorder="1"/>
    <xf numFmtId="170" fontId="11" fillId="5" borderId="21" xfId="1" applyNumberFormat="1" applyFill="1" applyBorder="1" applyAlignment="1">
      <alignment horizontal="right"/>
    </xf>
    <xf numFmtId="170" fontId="5" fillId="5" borderId="70" xfId="1" applyNumberFormat="1" applyFont="1" applyFill="1" applyBorder="1"/>
    <xf numFmtId="170" fontId="0" fillId="5" borderId="13" xfId="1" applyNumberFormat="1" applyFont="1" applyFill="1" applyBorder="1"/>
    <xf numFmtId="170" fontId="11" fillId="5" borderId="13" xfId="1" applyNumberFormat="1" applyFill="1" applyBorder="1"/>
    <xf numFmtId="170" fontId="0" fillId="5" borderId="21" xfId="1" applyNumberFormat="1" applyFont="1" applyFill="1" applyBorder="1"/>
    <xf numFmtId="179" fontId="11" fillId="5" borderId="13" xfId="1" applyNumberFormat="1" applyFill="1" applyBorder="1"/>
    <xf numFmtId="0" fontId="5" fillId="5" borderId="10" xfId="9" applyFill="1" applyBorder="1" applyAlignment="1">
      <alignment horizontal="center" vertical="center"/>
    </xf>
    <xf numFmtId="0" fontId="5" fillId="5" borderId="10" xfId="9" applyFill="1" applyBorder="1"/>
    <xf numFmtId="167" fontId="0" fillId="5" borderId="10" xfId="10" applyNumberFormat="1" applyFont="1" applyFill="1" applyBorder="1"/>
    <xf numFmtId="0" fontId="14" fillId="5" borderId="9" xfId="9" applyFont="1" applyFill="1" applyBorder="1" applyAlignment="1">
      <alignment horizontal="center" vertical="center"/>
    </xf>
    <xf numFmtId="0" fontId="14" fillId="5" borderId="26" xfId="9" applyFont="1" applyFill="1" applyBorder="1" applyAlignment="1">
      <alignment horizontal="center" vertical="center"/>
    </xf>
    <xf numFmtId="0" fontId="14" fillId="5" borderId="44" xfId="9" applyFont="1" applyFill="1" applyBorder="1" applyAlignment="1">
      <alignment horizontal="center" vertical="center"/>
    </xf>
    <xf numFmtId="0" fontId="5" fillId="5" borderId="26" xfId="9" applyFill="1" applyBorder="1" applyAlignment="1">
      <alignment horizontal="center" vertical="center"/>
    </xf>
    <xf numFmtId="0" fontId="5" fillId="5" borderId="62" xfId="9" applyFill="1" applyBorder="1"/>
    <xf numFmtId="170" fontId="11" fillId="5" borderId="9" xfId="1" applyNumberFormat="1" applyFill="1" applyBorder="1"/>
    <xf numFmtId="170" fontId="0" fillId="5" borderId="10" xfId="1" applyNumberFormat="1" applyFont="1" applyFill="1" applyBorder="1"/>
    <xf numFmtId="170" fontId="0" fillId="5" borderId="11" xfId="1" applyNumberFormat="1" applyFont="1" applyFill="1" applyBorder="1"/>
    <xf numFmtId="170" fontId="0" fillId="5" borderId="60" xfId="1" applyNumberFormat="1" applyFont="1" applyFill="1" applyBorder="1"/>
    <xf numFmtId="170" fontId="0" fillId="5" borderId="43" xfId="1" applyNumberFormat="1" applyFont="1" applyFill="1" applyBorder="1"/>
    <xf numFmtId="170" fontId="0" fillId="5" borderId="44" xfId="1" applyNumberFormat="1" applyFont="1" applyFill="1" applyBorder="1"/>
    <xf numFmtId="170" fontId="11" fillId="5" borderId="26" xfId="1" applyNumberFormat="1" applyFill="1" applyBorder="1" applyAlignment="1">
      <alignment horizontal="right"/>
    </xf>
    <xf numFmtId="170" fontId="11" fillId="5" borderId="10" xfId="1" applyNumberFormat="1" applyFill="1" applyBorder="1"/>
    <xf numFmtId="170" fontId="5" fillId="5" borderId="10" xfId="1" applyNumberFormat="1" applyFont="1" applyFill="1" applyBorder="1"/>
    <xf numFmtId="170" fontId="5" fillId="5" borderId="11" xfId="1" applyNumberFormat="1" applyFont="1" applyFill="1" applyBorder="1"/>
    <xf numFmtId="170" fontId="11" fillId="5" borderId="26" xfId="1" applyNumberFormat="1" applyFill="1" applyBorder="1"/>
    <xf numFmtId="170" fontId="11" fillId="5" borderId="10" xfId="1" applyNumberFormat="1" applyFill="1" applyBorder="1" applyAlignment="1">
      <alignment horizontal="right"/>
    </xf>
    <xf numFmtId="170" fontId="5" fillId="5" borderId="62" xfId="1" applyNumberFormat="1" applyFont="1" applyFill="1" applyBorder="1"/>
    <xf numFmtId="170" fontId="0" fillId="5" borderId="9" xfId="1" applyNumberFormat="1" applyFont="1" applyFill="1" applyBorder="1"/>
    <xf numFmtId="0" fontId="5" fillId="5" borderId="10" xfId="9" applyFill="1" applyBorder="1" applyAlignment="1">
      <alignment horizontal="center" vertical="center" wrapText="1"/>
    </xf>
    <xf numFmtId="0" fontId="5" fillId="5" borderId="26" xfId="9" applyFill="1" applyBorder="1" applyAlignment="1">
      <alignment horizontal="center" vertical="center" wrapText="1"/>
    </xf>
    <xf numFmtId="0" fontId="0" fillId="5" borderId="62" xfId="0" applyFill="1" applyBorder="1"/>
    <xf numFmtId="0" fontId="14" fillId="5" borderId="7" xfId="9" applyFont="1" applyFill="1" applyBorder="1" applyAlignment="1">
      <alignment horizontal="center" vertical="center"/>
    </xf>
    <xf numFmtId="0" fontId="14" fillId="5" borderId="42" xfId="9" applyFont="1" applyFill="1" applyBorder="1" applyAlignment="1">
      <alignment horizontal="center" vertical="center"/>
    </xf>
    <xf numFmtId="0" fontId="14" fillId="5" borderId="46" xfId="9" applyFont="1" applyFill="1" applyBorder="1" applyAlignment="1">
      <alignment horizontal="center" vertical="center"/>
    </xf>
    <xf numFmtId="0" fontId="5" fillId="5" borderId="8" xfId="9" applyFill="1" applyBorder="1" applyAlignment="1">
      <alignment horizontal="center" vertical="center" wrapText="1"/>
    </xf>
    <xf numFmtId="0" fontId="5" fillId="5" borderId="8" xfId="9" applyFill="1" applyBorder="1"/>
    <xf numFmtId="167" fontId="0" fillId="5" borderId="8" xfId="10" applyNumberFormat="1" applyFont="1" applyFill="1" applyBorder="1"/>
    <xf numFmtId="0" fontId="5" fillId="5" borderId="42" xfId="9" applyFill="1" applyBorder="1" applyAlignment="1">
      <alignment horizontal="center" vertical="center" wrapText="1"/>
    </xf>
    <xf numFmtId="0" fontId="5" fillId="5" borderId="62" xfId="9" applyFill="1" applyBorder="1" applyAlignment="1">
      <alignment horizontal="right" vertical="center" wrapText="1"/>
    </xf>
    <xf numFmtId="170" fontId="11" fillId="5" borderId="7" xfId="1" applyNumberFormat="1" applyFill="1" applyBorder="1"/>
    <xf numFmtId="170" fontId="0" fillId="5" borderId="8" xfId="1" applyNumberFormat="1" applyFont="1" applyFill="1" applyBorder="1"/>
    <xf numFmtId="170" fontId="0" fillId="5" borderId="12" xfId="1" applyNumberFormat="1" applyFont="1" applyFill="1" applyBorder="1"/>
    <xf numFmtId="170" fontId="0" fillId="5" borderId="65" xfId="1" applyNumberFormat="1" applyFont="1" applyFill="1" applyBorder="1"/>
    <xf numFmtId="170" fontId="0" fillId="5" borderId="55" xfId="1" applyNumberFormat="1" applyFont="1" applyFill="1" applyBorder="1"/>
    <xf numFmtId="170" fontId="0" fillId="5" borderId="46" xfId="1" applyNumberFormat="1" applyFont="1" applyFill="1" applyBorder="1"/>
    <xf numFmtId="170" fontId="11" fillId="5" borderId="42" xfId="1" applyNumberFormat="1" applyFill="1" applyBorder="1" applyAlignment="1">
      <alignment horizontal="right"/>
    </xf>
    <xf numFmtId="170" fontId="11" fillId="5" borderId="8" xfId="1" applyNumberFormat="1" applyFill="1" applyBorder="1"/>
    <xf numFmtId="170" fontId="5" fillId="5" borderId="8" xfId="1" applyNumberFormat="1" applyFont="1" applyFill="1" applyBorder="1"/>
    <xf numFmtId="170" fontId="5" fillId="5" borderId="12" xfId="1" applyNumberFormat="1" applyFont="1" applyFill="1" applyBorder="1"/>
    <xf numFmtId="170" fontId="11" fillId="5" borderId="42" xfId="1" applyNumberFormat="1" applyFill="1" applyBorder="1"/>
    <xf numFmtId="170" fontId="11" fillId="5" borderId="8" xfId="1" applyNumberFormat="1" applyFill="1" applyBorder="1" applyAlignment="1">
      <alignment horizontal="right"/>
    </xf>
    <xf numFmtId="170" fontId="5" fillId="5" borderId="37" xfId="1" applyNumberFormat="1" applyFont="1" applyFill="1" applyBorder="1"/>
    <xf numFmtId="170" fontId="0" fillId="5" borderId="7" xfId="1" applyNumberFormat="1" applyFont="1" applyFill="1" applyBorder="1"/>
    <xf numFmtId="0" fontId="14" fillId="5" borderId="22" xfId="9" applyFont="1" applyFill="1" applyBorder="1" applyAlignment="1">
      <alignment horizontal="center"/>
    </xf>
    <xf numFmtId="0" fontId="14" fillId="5" borderId="22" xfId="9" applyFont="1" applyFill="1" applyBorder="1" applyAlignment="1">
      <alignment horizontal="right"/>
    </xf>
    <xf numFmtId="167" fontId="14" fillId="5" borderId="22" xfId="10" applyNumberFormat="1" applyFont="1" applyFill="1" applyBorder="1"/>
    <xf numFmtId="0" fontId="14" fillId="5" borderId="25" xfId="9" applyFont="1" applyFill="1" applyBorder="1" applyAlignment="1">
      <alignment horizontal="center" vertical="center"/>
    </xf>
    <xf numFmtId="0" fontId="14" fillId="5" borderId="31" xfId="9" applyFont="1" applyFill="1" applyBorder="1" applyAlignment="1">
      <alignment horizontal="center" vertical="center"/>
    </xf>
    <xf numFmtId="0" fontId="14" fillId="5" borderId="38" xfId="9" applyFont="1" applyFill="1" applyBorder="1" applyAlignment="1">
      <alignment horizontal="center" vertical="center"/>
    </xf>
    <xf numFmtId="0" fontId="14" fillId="5" borderId="31" xfId="9" applyFont="1" applyFill="1" applyBorder="1" applyAlignment="1">
      <alignment horizontal="center"/>
    </xf>
    <xf numFmtId="0" fontId="14" fillId="5" borderId="29" xfId="9" applyFont="1" applyFill="1" applyBorder="1" applyAlignment="1">
      <alignment horizontal="right"/>
    </xf>
    <xf numFmtId="170" fontId="14" fillId="5" borderId="25" xfId="1" applyNumberFormat="1" applyFont="1" applyFill="1" applyBorder="1" applyAlignment="1">
      <alignment horizontal="center"/>
    </xf>
    <xf numFmtId="170" fontId="14" fillId="5" borderId="22" xfId="1" applyNumberFormat="1" applyFont="1" applyFill="1" applyBorder="1"/>
    <xf numFmtId="170" fontId="14" fillId="5" borderId="23" xfId="1" applyNumberFormat="1" applyFont="1" applyFill="1" applyBorder="1"/>
    <xf numFmtId="170" fontId="14" fillId="5" borderId="75" xfId="1" applyNumberFormat="1" applyFont="1" applyFill="1" applyBorder="1"/>
    <xf numFmtId="170" fontId="14" fillId="5" borderId="31" xfId="1" applyNumberFormat="1" applyFont="1" applyFill="1" applyBorder="1"/>
    <xf numFmtId="170" fontId="14" fillId="5" borderId="29" xfId="1" applyNumberFormat="1" applyFont="1" applyFill="1" applyBorder="1"/>
    <xf numFmtId="170" fontId="14" fillId="5" borderId="25" xfId="1" applyNumberFormat="1" applyFont="1" applyFill="1" applyBorder="1"/>
    <xf numFmtId="0" fontId="5" fillId="11" borderId="5" xfId="9" applyFill="1" applyBorder="1" applyAlignment="1">
      <alignment horizontal="center" vertical="center" wrapText="1"/>
    </xf>
    <xf numFmtId="0" fontId="5" fillId="11" borderId="5" xfId="9" applyFill="1" applyBorder="1"/>
    <xf numFmtId="167" fontId="0" fillId="11" borderId="5" xfId="10" applyNumberFormat="1" applyFont="1" applyFill="1" applyBorder="1"/>
    <xf numFmtId="0" fontId="17" fillId="11" borderId="4" xfId="9" applyFont="1" applyFill="1" applyBorder="1" applyAlignment="1">
      <alignment horizontal="center" vertical="center" wrapText="1"/>
    </xf>
    <xf numFmtId="0" fontId="17" fillId="11" borderId="30" xfId="9" applyFont="1" applyFill="1" applyBorder="1" applyAlignment="1">
      <alignment horizontal="center" vertical="center" wrapText="1"/>
    </xf>
    <xf numFmtId="0" fontId="17" fillId="11" borderId="41" xfId="9" applyFont="1" applyFill="1" applyBorder="1" applyAlignment="1">
      <alignment horizontal="center" vertical="center" wrapText="1"/>
    </xf>
    <xf numFmtId="0" fontId="5" fillId="11" borderId="30" xfId="9" applyFill="1" applyBorder="1" applyAlignment="1">
      <alignment horizontal="center" vertical="center" wrapText="1"/>
    </xf>
    <xf numFmtId="0" fontId="5" fillId="11" borderId="63" xfId="9" applyFill="1" applyBorder="1"/>
    <xf numFmtId="170" fontId="11" fillId="11" borderId="4" xfId="1" applyNumberFormat="1" applyFill="1" applyBorder="1"/>
    <xf numFmtId="170" fontId="0" fillId="11" borderId="5" xfId="1" applyNumberFormat="1" applyFont="1" applyFill="1" applyBorder="1"/>
    <xf numFmtId="170" fontId="0" fillId="11" borderId="6" xfId="1" applyNumberFormat="1" applyFont="1" applyFill="1" applyBorder="1"/>
    <xf numFmtId="170" fontId="0" fillId="11" borderId="59" xfId="1" applyNumberFormat="1" applyFont="1" applyFill="1" applyBorder="1"/>
    <xf numFmtId="170" fontId="0" fillId="11" borderId="64" xfId="1" applyNumberFormat="1" applyFont="1" applyFill="1" applyBorder="1"/>
    <xf numFmtId="170" fontId="0" fillId="11" borderId="41" xfId="1" applyNumberFormat="1" applyFont="1" applyFill="1" applyBorder="1"/>
    <xf numFmtId="170" fontId="11" fillId="11" borderId="30" xfId="1" applyNumberFormat="1" applyFill="1" applyBorder="1" applyAlignment="1">
      <alignment horizontal="right"/>
    </xf>
    <xf numFmtId="170" fontId="11" fillId="11" borderId="5" xfId="1" applyNumberFormat="1" applyFill="1" applyBorder="1"/>
    <xf numFmtId="170" fontId="11" fillId="11" borderId="6" xfId="1" applyNumberFormat="1" applyFill="1" applyBorder="1"/>
    <xf numFmtId="170" fontId="11" fillId="11" borderId="30" xfId="1" applyNumberFormat="1" applyFill="1" applyBorder="1"/>
    <xf numFmtId="170" fontId="11" fillId="11" borderId="5" xfId="1" applyNumberFormat="1" applyFill="1" applyBorder="1" applyAlignment="1">
      <alignment horizontal="right"/>
    </xf>
    <xf numFmtId="170" fontId="11" fillId="11" borderId="63" xfId="1" applyNumberFormat="1" applyFill="1" applyBorder="1"/>
    <xf numFmtId="170" fontId="0" fillId="11" borderId="4" xfId="1" applyNumberFormat="1" applyFont="1" applyFill="1" applyBorder="1"/>
    <xf numFmtId="0" fontId="5" fillId="11" borderId="10" xfId="9" applyFill="1" applyBorder="1" applyAlignment="1">
      <alignment horizontal="center" vertical="center" wrapText="1"/>
    </xf>
    <xf numFmtId="0" fontId="5" fillId="11" borderId="10" xfId="9" applyFill="1" applyBorder="1"/>
    <xf numFmtId="167" fontId="0" fillId="11" borderId="10" xfId="10" applyNumberFormat="1" applyFont="1" applyFill="1" applyBorder="1"/>
    <xf numFmtId="0" fontId="17" fillId="11" borderId="9" xfId="9" applyFont="1" applyFill="1" applyBorder="1" applyAlignment="1">
      <alignment horizontal="center" vertical="center" wrapText="1"/>
    </xf>
    <xf numFmtId="0" fontId="17" fillId="11" borderId="26" xfId="9" applyFont="1" applyFill="1" applyBorder="1" applyAlignment="1">
      <alignment horizontal="center" vertical="center" wrapText="1"/>
    </xf>
    <xf numFmtId="0" fontId="17" fillId="11" borderId="44" xfId="9" applyFont="1" applyFill="1" applyBorder="1" applyAlignment="1">
      <alignment horizontal="center" vertical="center" wrapText="1"/>
    </xf>
    <xf numFmtId="0" fontId="5" fillId="11" borderId="26" xfId="9" applyFill="1" applyBorder="1" applyAlignment="1">
      <alignment horizontal="center" vertical="center" wrapText="1"/>
    </xf>
    <xf numFmtId="0" fontId="0" fillId="11" borderId="62" xfId="0" applyFill="1" applyBorder="1"/>
    <xf numFmtId="170" fontId="11" fillId="11" borderId="9" xfId="1" applyNumberFormat="1" applyFill="1" applyBorder="1"/>
    <xf numFmtId="170" fontId="0" fillId="11" borderId="10" xfId="1" applyNumberFormat="1" applyFont="1" applyFill="1" applyBorder="1"/>
    <xf numFmtId="170" fontId="0" fillId="11" borderId="11" xfId="1" applyNumberFormat="1" applyFont="1" applyFill="1" applyBorder="1"/>
    <xf numFmtId="170" fontId="0" fillId="11" borderId="60" xfId="1" applyNumberFormat="1" applyFont="1" applyFill="1" applyBorder="1"/>
    <xf numFmtId="170" fontId="0" fillId="11" borderId="43" xfId="1" applyNumberFormat="1" applyFont="1" applyFill="1" applyBorder="1"/>
    <xf numFmtId="170" fontId="0" fillId="11" borderId="44" xfId="1" applyNumberFormat="1" applyFont="1" applyFill="1" applyBorder="1"/>
    <xf numFmtId="170" fontId="11" fillId="11" borderId="26" xfId="1" applyNumberFormat="1" applyFill="1" applyBorder="1" applyAlignment="1">
      <alignment horizontal="right"/>
    </xf>
    <xf numFmtId="170" fontId="11" fillId="11" borderId="10" xfId="1" applyNumberFormat="1" applyFill="1" applyBorder="1"/>
    <xf numFmtId="170" fontId="11" fillId="11" borderId="11" xfId="1" applyNumberFormat="1" applyFill="1" applyBorder="1"/>
    <xf numFmtId="170" fontId="11" fillId="11" borderId="26" xfId="1" applyNumberFormat="1" applyFill="1" applyBorder="1"/>
    <xf numFmtId="170" fontId="11" fillId="11" borderId="10" xfId="1" applyNumberFormat="1" applyFill="1" applyBorder="1" applyAlignment="1">
      <alignment horizontal="right"/>
    </xf>
    <xf numFmtId="170" fontId="11" fillId="11" borderId="62" xfId="1" applyNumberFormat="1" applyFill="1" applyBorder="1"/>
    <xf numFmtId="170" fontId="0" fillId="11" borderId="9" xfId="1" applyNumberFormat="1" applyFont="1" applyFill="1" applyBorder="1"/>
    <xf numFmtId="170" fontId="0" fillId="11" borderId="12" xfId="1" applyNumberFormat="1" applyFont="1" applyFill="1" applyBorder="1"/>
    <xf numFmtId="0" fontId="5" fillId="11" borderId="62" xfId="9" applyFill="1" applyBorder="1"/>
    <xf numFmtId="0" fontId="17" fillId="11" borderId="7" xfId="9" applyFont="1" applyFill="1" applyBorder="1" applyAlignment="1">
      <alignment horizontal="center" vertical="center" wrapText="1"/>
    </xf>
    <xf numFmtId="0" fontId="17" fillId="11" borderId="42" xfId="9" applyFont="1" applyFill="1" applyBorder="1" applyAlignment="1">
      <alignment horizontal="center" vertical="center" wrapText="1"/>
    </xf>
    <xf numFmtId="0" fontId="17" fillId="11" borderId="46" xfId="9" applyFont="1" applyFill="1" applyBorder="1" applyAlignment="1">
      <alignment horizontal="center" vertical="center" wrapText="1"/>
    </xf>
    <xf numFmtId="0" fontId="5" fillId="11" borderId="8" xfId="9" applyFill="1" applyBorder="1" applyAlignment="1">
      <alignment horizontal="center" vertical="center" wrapText="1"/>
    </xf>
    <xf numFmtId="0" fontId="5" fillId="11" borderId="10" xfId="9" applyFill="1" applyBorder="1" applyAlignment="1">
      <alignment horizontal="right" vertical="center" wrapText="1"/>
    </xf>
    <xf numFmtId="0" fontId="5" fillId="11" borderId="8" xfId="9" applyFill="1" applyBorder="1"/>
    <xf numFmtId="167" fontId="0" fillId="11" borderId="8" xfId="10" applyNumberFormat="1" applyFont="1" applyFill="1" applyBorder="1"/>
    <xf numFmtId="0" fontId="5" fillId="11" borderId="42" xfId="9" applyFill="1" applyBorder="1" applyAlignment="1">
      <alignment horizontal="center" vertical="center" wrapText="1"/>
    </xf>
    <xf numFmtId="0" fontId="5" fillId="11" borderId="62" xfId="9" applyFill="1" applyBorder="1" applyAlignment="1">
      <alignment horizontal="right" vertical="center" wrapText="1"/>
    </xf>
    <xf numFmtId="170" fontId="11" fillId="11" borderId="7" xfId="1" applyNumberFormat="1" applyFill="1" applyBorder="1"/>
    <xf numFmtId="170" fontId="0" fillId="11" borderId="8" xfId="1" applyNumberFormat="1" applyFont="1" applyFill="1" applyBorder="1"/>
    <xf numFmtId="170" fontId="0" fillId="11" borderId="65" xfId="1" applyNumberFormat="1" applyFont="1" applyFill="1" applyBorder="1"/>
    <xf numFmtId="170" fontId="0" fillId="11" borderId="55" xfId="1" applyNumberFormat="1" applyFont="1" applyFill="1" applyBorder="1"/>
    <xf numFmtId="170" fontId="0" fillId="11" borderId="46" xfId="1" applyNumberFormat="1" applyFont="1" applyFill="1" applyBorder="1"/>
    <xf numFmtId="170" fontId="11" fillId="11" borderId="42" xfId="1" applyNumberFormat="1" applyFill="1" applyBorder="1" applyAlignment="1">
      <alignment horizontal="right"/>
    </xf>
    <xf numFmtId="170" fontId="11" fillId="11" borderId="8" xfId="1" applyNumberFormat="1" applyFill="1" applyBorder="1"/>
    <xf numFmtId="170" fontId="11" fillId="11" borderId="12" xfId="1" applyNumberFormat="1" applyFill="1" applyBorder="1"/>
    <xf numFmtId="170" fontId="11" fillId="11" borderId="42" xfId="1" applyNumberFormat="1" applyFill="1" applyBorder="1"/>
    <xf numFmtId="170" fontId="11" fillId="11" borderId="8" xfId="1" applyNumberFormat="1" applyFill="1" applyBorder="1" applyAlignment="1">
      <alignment horizontal="right"/>
    </xf>
    <xf numFmtId="170" fontId="11" fillId="11" borderId="37" xfId="1" applyNumberFormat="1" applyFill="1" applyBorder="1"/>
    <xf numFmtId="170" fontId="0" fillId="11" borderId="7" xfId="1" applyNumberFormat="1" applyFont="1" applyFill="1" applyBorder="1"/>
    <xf numFmtId="0" fontId="5" fillId="11" borderId="8" xfId="9" applyFill="1" applyBorder="1" applyAlignment="1">
      <alignment horizontal="right" vertical="center" wrapText="1"/>
    </xf>
    <xf numFmtId="0" fontId="14" fillId="11" borderId="8" xfId="9" applyFont="1" applyFill="1" applyBorder="1" applyAlignment="1">
      <alignment horizontal="center"/>
    </xf>
    <xf numFmtId="0" fontId="14" fillId="11" borderId="8" xfId="9" applyFont="1" applyFill="1" applyBorder="1" applyAlignment="1">
      <alignment horizontal="right"/>
    </xf>
    <xf numFmtId="167" fontId="14" fillId="11" borderId="8" xfId="10" applyNumberFormat="1" applyFont="1" applyFill="1" applyBorder="1"/>
    <xf numFmtId="0" fontId="17" fillId="11" borderId="25" xfId="9" applyFont="1" applyFill="1" applyBorder="1" applyAlignment="1">
      <alignment horizontal="center" vertical="center" wrapText="1"/>
    </xf>
    <xf numFmtId="0" fontId="17" fillId="11" borderId="31" xfId="9" applyFont="1" applyFill="1" applyBorder="1" applyAlignment="1">
      <alignment horizontal="center" vertical="center" wrapText="1"/>
    </xf>
    <xf numFmtId="0" fontId="17" fillId="11" borderId="38" xfId="9" applyFont="1" applyFill="1" applyBorder="1" applyAlignment="1">
      <alignment horizontal="center" vertical="center" wrapText="1"/>
    </xf>
    <xf numFmtId="0" fontId="14" fillId="11" borderId="31" xfId="9" applyFont="1" applyFill="1" applyBorder="1" applyAlignment="1">
      <alignment horizontal="center"/>
    </xf>
    <xf numFmtId="0" fontId="14" fillId="11" borderId="22" xfId="9" applyFont="1" applyFill="1" applyBorder="1" applyAlignment="1">
      <alignment horizontal="center"/>
    </xf>
    <xf numFmtId="0" fontId="14" fillId="11" borderId="29" xfId="9" applyFont="1" applyFill="1" applyBorder="1" applyAlignment="1">
      <alignment horizontal="right"/>
    </xf>
    <xf numFmtId="170" fontId="14" fillId="11" borderId="7" xfId="1" applyNumberFormat="1" applyFont="1" applyFill="1" applyBorder="1" applyAlignment="1">
      <alignment horizontal="center"/>
    </xf>
    <xf numFmtId="170" fontId="14" fillId="11" borderId="22" xfId="1" applyNumberFormat="1" applyFont="1" applyFill="1" applyBorder="1"/>
    <xf numFmtId="170" fontId="14" fillId="11" borderId="23" xfId="1" applyNumberFormat="1" applyFont="1" applyFill="1" applyBorder="1"/>
    <xf numFmtId="170" fontId="14" fillId="11" borderId="75" xfId="1" applyNumberFormat="1" applyFont="1" applyFill="1" applyBorder="1"/>
    <xf numFmtId="170" fontId="14" fillId="11" borderId="31" xfId="1" applyNumberFormat="1" applyFont="1" applyFill="1" applyBorder="1"/>
    <xf numFmtId="170" fontId="14" fillId="11" borderId="29" xfId="1" applyNumberFormat="1" applyFont="1" applyFill="1" applyBorder="1"/>
    <xf numFmtId="170" fontId="14" fillId="11" borderId="25" xfId="1" applyNumberFormat="1" applyFont="1" applyFill="1" applyBorder="1"/>
    <xf numFmtId="0" fontId="17" fillId="7" borderId="57" xfId="9" applyFont="1" applyFill="1" applyBorder="1" applyAlignment="1">
      <alignment horizontal="center" vertical="center" wrapText="1"/>
    </xf>
    <xf numFmtId="0" fontId="14" fillId="7" borderId="20" xfId="9" applyFont="1" applyFill="1" applyBorder="1" applyAlignment="1">
      <alignment horizontal="center"/>
    </xf>
    <xf numFmtId="0" fontId="14" fillId="7" borderId="20" xfId="9" applyFont="1" applyFill="1" applyBorder="1" applyAlignment="1">
      <alignment horizontal="right"/>
    </xf>
    <xf numFmtId="167" fontId="14" fillId="7" borderId="20" xfId="10" applyNumberFormat="1" applyFont="1" applyFill="1" applyBorder="1"/>
    <xf numFmtId="0" fontId="5" fillId="0" borderId="0" xfId="9" applyFill="1" applyBorder="1"/>
    <xf numFmtId="0" fontId="17" fillId="24" borderId="66" xfId="9" applyFont="1" applyFill="1" applyBorder="1" applyAlignment="1">
      <alignment horizontal="center" vertical="center" wrapText="1"/>
    </xf>
    <xf numFmtId="0" fontId="17" fillId="24" borderId="57" xfId="9" applyFont="1" applyFill="1" applyBorder="1" applyAlignment="1">
      <alignment horizontal="center" vertical="center" wrapText="1"/>
    </xf>
    <xf numFmtId="0" fontId="17" fillId="24" borderId="54" xfId="9" applyFont="1" applyFill="1" applyBorder="1" applyAlignment="1">
      <alignment horizontal="center" vertical="center" wrapText="1"/>
    </xf>
    <xf numFmtId="0" fontId="14" fillId="24" borderId="72" xfId="9" applyFont="1" applyFill="1" applyBorder="1" applyAlignment="1">
      <alignment horizontal="center"/>
    </xf>
    <xf numFmtId="0" fontId="5" fillId="24" borderId="21" xfId="9" applyFont="1" applyFill="1" applyBorder="1" applyAlignment="1">
      <alignment horizontal="center"/>
    </xf>
    <xf numFmtId="0" fontId="5" fillId="24" borderId="70" xfId="9" applyFont="1" applyFill="1" applyBorder="1" applyAlignment="1">
      <alignment horizontal="right"/>
    </xf>
    <xf numFmtId="170" fontId="5" fillId="24" borderId="13" xfId="1" applyNumberFormat="1" applyFont="1" applyFill="1" applyBorder="1" applyAlignment="1">
      <alignment horizontal="right"/>
    </xf>
    <xf numFmtId="170" fontId="5" fillId="24" borderId="21" xfId="1" applyNumberFormat="1" applyFont="1" applyFill="1" applyBorder="1" applyAlignment="1">
      <alignment horizontal="center"/>
    </xf>
    <xf numFmtId="170" fontId="5" fillId="24" borderId="14" xfId="1" applyNumberFormat="1" applyFont="1" applyFill="1" applyBorder="1"/>
    <xf numFmtId="170" fontId="5" fillId="24" borderId="74" xfId="1" applyNumberFormat="1" applyFont="1" applyFill="1" applyBorder="1"/>
    <xf numFmtId="170" fontId="5" fillId="24" borderId="51" xfId="1" applyNumberFormat="1" applyFont="1" applyFill="1" applyBorder="1"/>
    <xf numFmtId="170" fontId="5" fillId="24" borderId="49" xfId="1" applyNumberFormat="1" applyFont="1" applyFill="1" applyBorder="1"/>
    <xf numFmtId="170" fontId="5" fillId="24" borderId="72" xfId="1" applyNumberFormat="1" applyFont="1" applyFill="1" applyBorder="1" applyAlignment="1">
      <alignment horizontal="right"/>
    </xf>
    <xf numFmtId="170" fontId="5" fillId="24" borderId="21" xfId="1" applyNumberFormat="1" applyFont="1" applyFill="1" applyBorder="1"/>
    <xf numFmtId="170" fontId="5" fillId="24" borderId="72" xfId="1" applyNumberFormat="1" applyFont="1" applyFill="1" applyBorder="1"/>
    <xf numFmtId="170" fontId="5" fillId="24" borderId="70" xfId="1" applyNumberFormat="1" applyFont="1" applyFill="1" applyBorder="1"/>
    <xf numFmtId="170" fontId="5" fillId="24" borderId="13" xfId="1" applyNumberFormat="1" applyFont="1" applyFill="1" applyBorder="1"/>
    <xf numFmtId="0" fontId="5" fillId="0" borderId="0" xfId="9" applyFill="1"/>
    <xf numFmtId="0" fontId="14" fillId="24" borderId="20" xfId="9" applyFont="1" applyFill="1" applyBorder="1" applyAlignment="1">
      <alignment horizontal="center"/>
    </xf>
    <xf numFmtId="0" fontId="14" fillId="24" borderId="20" xfId="9" applyFont="1" applyFill="1" applyBorder="1" applyAlignment="1">
      <alignment horizontal="right"/>
    </xf>
    <xf numFmtId="167" fontId="14" fillId="24" borderId="20" xfId="10" applyNumberFormat="1" applyFont="1" applyFill="1" applyBorder="1"/>
    <xf numFmtId="0" fontId="14" fillId="24" borderId="26" xfId="9" applyFont="1" applyFill="1" applyBorder="1" applyAlignment="1">
      <alignment horizontal="center"/>
    </xf>
    <xf numFmtId="0" fontId="5" fillId="24" borderId="10" xfId="9" applyFont="1" applyFill="1" applyBorder="1" applyAlignment="1">
      <alignment horizontal="center"/>
    </xf>
    <xf numFmtId="0" fontId="5" fillId="24" borderId="62" xfId="9" applyFont="1" applyFill="1" applyBorder="1" applyAlignment="1">
      <alignment horizontal="right"/>
    </xf>
    <xf numFmtId="170" fontId="5" fillId="24" borderId="9" xfId="1" applyNumberFormat="1" applyFont="1" applyFill="1" applyBorder="1" applyAlignment="1">
      <alignment horizontal="right"/>
    </xf>
    <xf numFmtId="170" fontId="5" fillId="24" borderId="10" xfId="1" applyNumberFormat="1" applyFont="1" applyFill="1" applyBorder="1" applyAlignment="1">
      <alignment horizontal="center"/>
    </xf>
    <xf numFmtId="170" fontId="5" fillId="24" borderId="11" xfId="1" applyNumberFormat="1" applyFont="1" applyFill="1" applyBorder="1"/>
    <xf numFmtId="170" fontId="5" fillId="24" borderId="60" xfId="1" applyNumberFormat="1" applyFont="1" applyFill="1" applyBorder="1"/>
    <xf numFmtId="170" fontId="5" fillId="24" borderId="43" xfId="1" applyNumberFormat="1" applyFont="1" applyFill="1" applyBorder="1"/>
    <xf numFmtId="170" fontId="5" fillId="24" borderId="44" xfId="1" applyNumberFormat="1" applyFont="1" applyFill="1" applyBorder="1"/>
    <xf numFmtId="170" fontId="5" fillId="24" borderId="26" xfId="1" applyNumberFormat="1" applyFont="1" applyFill="1" applyBorder="1" applyAlignment="1">
      <alignment horizontal="right"/>
    </xf>
    <xf numFmtId="170" fontId="5" fillId="24" borderId="10" xfId="1" applyNumberFormat="1" applyFont="1" applyFill="1" applyBorder="1"/>
    <xf numFmtId="170" fontId="5" fillId="24" borderId="26" xfId="1" applyNumberFormat="1" applyFont="1" applyFill="1" applyBorder="1" applyAlignment="1">
      <alignment horizontal="center"/>
    </xf>
    <xf numFmtId="170" fontId="5" fillId="24" borderId="10" xfId="1" applyNumberFormat="1" applyFont="1" applyFill="1" applyBorder="1" applyAlignment="1">
      <alignment horizontal="right"/>
    </xf>
    <xf numFmtId="170" fontId="5" fillId="24" borderId="62" xfId="1" applyNumberFormat="1" applyFont="1" applyFill="1" applyBorder="1"/>
    <xf numFmtId="170" fontId="14" fillId="24" borderId="66" xfId="1" applyNumberFormat="1" applyFont="1" applyFill="1" applyBorder="1"/>
    <xf numFmtId="170" fontId="14" fillId="24" borderId="24" xfId="1" applyNumberFormat="1" applyFont="1" applyFill="1" applyBorder="1"/>
    <xf numFmtId="0" fontId="14" fillId="24" borderId="57" xfId="9" applyFont="1" applyFill="1" applyBorder="1" applyAlignment="1">
      <alignment horizontal="center"/>
    </xf>
    <xf numFmtId="0" fontId="5" fillId="24" borderId="20" xfId="9" applyFont="1" applyFill="1" applyBorder="1" applyAlignment="1">
      <alignment horizontal="center"/>
    </xf>
    <xf numFmtId="0" fontId="14" fillId="24" borderId="53" xfId="9" applyFont="1" applyFill="1" applyBorder="1" applyAlignment="1">
      <alignment horizontal="right"/>
    </xf>
    <xf numFmtId="170" fontId="14" fillId="24" borderId="66" xfId="1" applyNumberFormat="1" applyFont="1" applyFill="1" applyBorder="1" applyAlignment="1">
      <alignment horizontal="right"/>
    </xf>
    <xf numFmtId="170" fontId="14" fillId="24" borderId="20" xfId="1" applyNumberFormat="1" applyFont="1" applyFill="1" applyBorder="1" applyAlignment="1">
      <alignment horizontal="center"/>
    </xf>
    <xf numFmtId="170" fontId="14" fillId="24" borderId="58" xfId="1" applyNumberFormat="1" applyFont="1" applyFill="1" applyBorder="1"/>
    <xf numFmtId="170" fontId="14" fillId="24" borderId="0" xfId="1" applyNumberFormat="1" applyFont="1" applyFill="1" applyBorder="1"/>
    <xf numFmtId="170" fontId="14" fillId="24" borderId="54" xfId="1" applyNumberFormat="1" applyFont="1" applyFill="1" applyBorder="1"/>
    <xf numFmtId="170" fontId="14" fillId="24" borderId="57" xfId="1" applyNumberFormat="1" applyFont="1" applyFill="1" applyBorder="1" applyAlignment="1">
      <alignment horizontal="right"/>
    </xf>
    <xf numFmtId="170" fontId="14" fillId="24" borderId="20" xfId="1" applyNumberFormat="1" applyFont="1" applyFill="1" applyBorder="1"/>
    <xf numFmtId="170" fontId="14" fillId="24" borderId="40" xfId="1" applyNumberFormat="1" applyFont="1" applyFill="1" applyBorder="1"/>
    <xf numFmtId="170" fontId="14" fillId="24" borderId="36" xfId="1" applyNumberFormat="1" applyFont="1" applyFill="1" applyBorder="1" applyAlignment="1">
      <alignment horizontal="right"/>
    </xf>
    <xf numFmtId="170" fontId="14" fillId="24" borderId="68" xfId="1" applyNumberFormat="1" applyFont="1" applyFill="1" applyBorder="1"/>
    <xf numFmtId="0" fontId="17" fillId="2" borderId="9" xfId="9" applyFont="1" applyFill="1" applyBorder="1" applyAlignment="1">
      <alignment horizontal="center" vertical="center" wrapText="1"/>
    </xf>
    <xf numFmtId="0" fontId="17" fillId="2" borderId="10" xfId="9" applyFont="1" applyFill="1" applyBorder="1" applyAlignment="1">
      <alignment horizontal="center" vertical="center" wrapText="1"/>
    </xf>
    <xf numFmtId="0" fontId="17" fillId="2" borderId="11" xfId="9" applyFont="1" applyFill="1" applyBorder="1" applyAlignment="1">
      <alignment horizontal="center" vertical="center" wrapText="1"/>
    </xf>
    <xf numFmtId="0" fontId="14" fillId="2" borderId="26" xfId="9" applyFont="1" applyFill="1" applyBorder="1" applyAlignment="1">
      <alignment horizontal="center"/>
    </xf>
    <xf numFmtId="170" fontId="0" fillId="2" borderId="43" xfId="1" applyNumberFormat="1" applyFont="1" applyFill="1" applyBorder="1"/>
    <xf numFmtId="170" fontId="14" fillId="2" borderId="10" xfId="1" applyNumberFormat="1" applyFont="1" applyFill="1" applyBorder="1" applyAlignment="1">
      <alignment horizontal="center"/>
    </xf>
    <xf numFmtId="170" fontId="5" fillId="2" borderId="10" xfId="1" applyNumberFormat="1" applyFont="1" applyFill="1" applyBorder="1" applyAlignment="1">
      <alignment horizontal="center"/>
    </xf>
    <xf numFmtId="170" fontId="5" fillId="2" borderId="11" xfId="1" applyNumberFormat="1" applyFont="1" applyFill="1" applyBorder="1" applyAlignment="1">
      <alignment horizontal="center"/>
    </xf>
    <xf numFmtId="170" fontId="5" fillId="2" borderId="26" xfId="1" applyNumberFormat="1" applyFont="1" applyFill="1" applyBorder="1" applyAlignment="1">
      <alignment horizontal="center"/>
    </xf>
    <xf numFmtId="170" fontId="5" fillId="2" borderId="62" xfId="1" applyNumberFormat="1" applyFont="1" applyFill="1" applyBorder="1" applyAlignment="1">
      <alignment horizontal="center"/>
    </xf>
    <xf numFmtId="170" fontId="14" fillId="11" borderId="7" xfId="1" applyNumberFormat="1" applyFont="1" applyFill="1" applyBorder="1"/>
    <xf numFmtId="170" fontId="14" fillId="11" borderId="12" xfId="1" applyNumberFormat="1" applyFont="1" applyFill="1" applyBorder="1"/>
    <xf numFmtId="170" fontId="5" fillId="11" borderId="12" xfId="1" applyNumberFormat="1" applyFont="1" applyFill="1" applyBorder="1"/>
    <xf numFmtId="170" fontId="5" fillId="2" borderId="72" xfId="1" applyNumberFormat="1" applyFont="1" applyFill="1" applyBorder="1" applyAlignment="1">
      <alignment horizontal="center"/>
    </xf>
    <xf numFmtId="170" fontId="5" fillId="2" borderId="21" xfId="1" applyNumberFormat="1" applyFont="1" applyFill="1" applyBorder="1" applyAlignment="1">
      <alignment horizontal="center"/>
    </xf>
    <xf numFmtId="170" fontId="5" fillId="2" borderId="70" xfId="1" applyNumberFormat="1" applyFont="1" applyFill="1" applyBorder="1" applyAlignment="1">
      <alignment horizontal="center"/>
    </xf>
    <xf numFmtId="0" fontId="17" fillId="7" borderId="10" xfId="9" applyFont="1" applyFill="1" applyBorder="1" applyAlignment="1">
      <alignment horizontal="center" vertical="center" wrapText="1"/>
    </xf>
    <xf numFmtId="0" fontId="14" fillId="7" borderId="10" xfId="9" applyFont="1" applyFill="1" applyBorder="1" applyAlignment="1">
      <alignment horizontal="center"/>
    </xf>
    <xf numFmtId="0" fontId="14" fillId="7" borderId="10" xfId="9" applyFont="1" applyFill="1" applyBorder="1" applyAlignment="1">
      <alignment horizontal="right"/>
    </xf>
    <xf numFmtId="167" fontId="14" fillId="7" borderId="10" xfId="10" applyNumberFormat="1" applyFont="1" applyFill="1" applyBorder="1"/>
    <xf numFmtId="0" fontId="5" fillId="0" borderId="62" xfId="9" applyFill="1" applyBorder="1"/>
    <xf numFmtId="170" fontId="5" fillId="2" borderId="26" xfId="1" applyNumberFormat="1" applyFont="1" applyFill="1" applyBorder="1" applyAlignment="1">
      <alignment horizontal="right"/>
    </xf>
    <xf numFmtId="170" fontId="5" fillId="2" borderId="30" xfId="1" applyNumberFormat="1" applyFont="1" applyFill="1" applyBorder="1" applyAlignment="1">
      <alignment horizontal="center"/>
    </xf>
    <xf numFmtId="170" fontId="5" fillId="2" borderId="5" xfId="1" applyNumberFormat="1" applyFont="1" applyFill="1" applyBorder="1" applyAlignment="1">
      <alignment horizontal="right"/>
    </xf>
    <xf numFmtId="170" fontId="5" fillId="2" borderId="63" xfId="1" applyNumberFormat="1" applyFont="1" applyFill="1" applyBorder="1" applyAlignment="1">
      <alignment horizontal="center"/>
    </xf>
    <xf numFmtId="170" fontId="14" fillId="7" borderId="9" xfId="1" applyNumberFormat="1" applyFont="1" applyFill="1" applyBorder="1"/>
    <xf numFmtId="170" fontId="14" fillId="7" borderId="11" xfId="1" applyNumberFormat="1" applyFont="1" applyFill="1" applyBorder="1"/>
    <xf numFmtId="170" fontId="5" fillId="2" borderId="10" xfId="1" applyNumberFormat="1" applyFont="1" applyFill="1" applyBorder="1" applyAlignment="1">
      <alignment horizontal="right"/>
    </xf>
    <xf numFmtId="0" fontId="5" fillId="2" borderId="62" xfId="9" applyFill="1" applyBorder="1" applyAlignment="1">
      <alignment horizontal="right" vertical="center" wrapText="1"/>
    </xf>
    <xf numFmtId="0" fontId="5" fillId="2" borderId="26" xfId="9" applyFont="1" applyFill="1" applyBorder="1" applyAlignment="1">
      <alignment horizontal="center"/>
    </xf>
    <xf numFmtId="0" fontId="5" fillId="2" borderId="10" xfId="9" applyFont="1" applyFill="1" applyBorder="1" applyAlignment="1">
      <alignment horizontal="center"/>
    </xf>
    <xf numFmtId="0" fontId="5" fillId="2" borderId="62" xfId="9" applyFont="1" applyFill="1" applyBorder="1" applyAlignment="1">
      <alignment horizontal="right"/>
    </xf>
    <xf numFmtId="170" fontId="5" fillId="2" borderId="42" xfId="1" applyNumberFormat="1" applyFont="1" applyFill="1" applyBorder="1" applyAlignment="1">
      <alignment horizontal="center"/>
    </xf>
    <xf numFmtId="170" fontId="5" fillId="2" borderId="8" xfId="1" applyNumberFormat="1" applyFont="1" applyFill="1" applyBorder="1" applyAlignment="1">
      <alignment horizontal="right"/>
    </xf>
    <xf numFmtId="170" fontId="5" fillId="2" borderId="37" xfId="1" applyNumberFormat="1" applyFont="1" applyFill="1" applyBorder="1" applyAlignment="1">
      <alignment horizontal="center"/>
    </xf>
    <xf numFmtId="0" fontId="14" fillId="2" borderId="10" xfId="9" applyFont="1" applyFill="1" applyBorder="1" applyAlignment="1">
      <alignment horizontal="center"/>
    </xf>
    <xf numFmtId="0" fontId="14" fillId="2" borderId="62" xfId="9" applyFont="1" applyFill="1" applyBorder="1" applyAlignment="1">
      <alignment horizontal="right"/>
    </xf>
    <xf numFmtId="170" fontId="14" fillId="2" borderId="9" xfId="1" applyNumberFormat="1" applyFont="1" applyFill="1" applyBorder="1"/>
    <xf numFmtId="170" fontId="14" fillId="2" borderId="10" xfId="1" applyNumberFormat="1" applyFont="1" applyFill="1" applyBorder="1"/>
    <xf numFmtId="170" fontId="14" fillId="2" borderId="11" xfId="1" applyNumberFormat="1" applyFont="1" applyFill="1" applyBorder="1"/>
    <xf numFmtId="170" fontId="14" fillId="2" borderId="45" xfId="1" applyNumberFormat="1" applyFont="1" applyFill="1" applyBorder="1"/>
    <xf numFmtId="170" fontId="14" fillId="2" borderId="26" xfId="1" applyNumberFormat="1" applyFont="1" applyFill="1" applyBorder="1"/>
    <xf numFmtId="170" fontId="14" fillId="2" borderId="62" xfId="1" applyNumberFormat="1" applyFont="1" applyFill="1" applyBorder="1"/>
    <xf numFmtId="0" fontId="17" fillId="3" borderId="35" xfId="0" applyFont="1" applyFill="1" applyBorder="1" applyAlignment="1">
      <alignment horizontal="center" vertical="center" wrapText="1"/>
    </xf>
    <xf numFmtId="0" fontId="17" fillId="3" borderId="52" xfId="0" applyFont="1" applyFill="1" applyBorder="1" applyAlignment="1">
      <alignment horizontal="center" vertical="center" wrapText="1"/>
    </xf>
    <xf numFmtId="0" fontId="17" fillId="3" borderId="40" xfId="0" applyFont="1" applyFill="1" applyBorder="1" applyAlignment="1">
      <alignment horizontal="center" vertical="center" wrapText="1"/>
    </xf>
    <xf numFmtId="0" fontId="17" fillId="3" borderId="36" xfId="0" applyFont="1" applyFill="1" applyBorder="1" applyAlignment="1">
      <alignment horizontal="center" vertical="center" wrapText="1"/>
    </xf>
    <xf numFmtId="0" fontId="17" fillId="3" borderId="68" xfId="0" applyFont="1" applyFill="1" applyBorder="1" applyAlignment="1">
      <alignment horizontal="center" vertical="center" wrapText="1"/>
    </xf>
    <xf numFmtId="170" fontId="17" fillId="3" borderId="33" xfId="1" applyNumberFormat="1" applyFont="1" applyFill="1" applyBorder="1" applyAlignment="1">
      <alignment horizontal="center" vertical="center" wrapText="1"/>
    </xf>
    <xf numFmtId="170" fontId="17" fillId="3" borderId="36" xfId="1" applyNumberFormat="1" applyFont="1" applyFill="1" applyBorder="1" applyAlignment="1">
      <alignment horizontal="center" vertical="center" wrapText="1"/>
    </xf>
    <xf numFmtId="170" fontId="17" fillId="3" borderId="56" xfId="1" applyNumberFormat="1" applyFont="1" applyFill="1" applyBorder="1" applyAlignment="1">
      <alignment horizontal="center" vertical="center" wrapText="1"/>
    </xf>
    <xf numFmtId="170" fontId="17" fillId="3" borderId="35" xfId="1" applyNumberFormat="1" applyFont="1" applyFill="1" applyBorder="1" applyAlignment="1">
      <alignment horizontal="center" vertical="center" wrapText="1"/>
    </xf>
    <xf numFmtId="170" fontId="17" fillId="3" borderId="39" xfId="1" applyNumberFormat="1" applyFont="1" applyFill="1" applyBorder="1" applyAlignment="1">
      <alignment horizontal="center" vertical="center" wrapText="1"/>
    </xf>
    <xf numFmtId="170" fontId="17" fillId="3" borderId="67" xfId="1" applyNumberFormat="1" applyFont="1" applyFill="1" applyBorder="1" applyAlignment="1">
      <alignment horizontal="center" vertical="center" wrapText="1"/>
    </xf>
    <xf numFmtId="170" fontId="17" fillId="3" borderId="40" xfId="1" applyNumberFormat="1" applyFont="1" applyFill="1" applyBorder="1" applyAlignment="1">
      <alignment horizontal="center" vertical="center" wrapText="1"/>
    </xf>
    <xf numFmtId="170" fontId="17" fillId="3" borderId="32" xfId="1" applyNumberFormat="1" applyFont="1" applyFill="1" applyBorder="1" applyAlignment="1">
      <alignment horizontal="center" vertical="center" wrapText="1"/>
    </xf>
    <xf numFmtId="170" fontId="17" fillId="3" borderId="16" xfId="1" applyNumberFormat="1" applyFont="1" applyFill="1" applyBorder="1" applyAlignment="1">
      <alignment horizontal="center" vertical="center" wrapText="1"/>
    </xf>
    <xf numFmtId="170" fontId="17" fillId="3" borderId="19" xfId="1" applyNumberFormat="1" applyFont="1" applyFill="1" applyBorder="1" applyAlignment="1">
      <alignment horizontal="center" vertical="center" wrapText="1"/>
    </xf>
    <xf numFmtId="170" fontId="14" fillId="7" borderId="66" xfId="1" applyNumberFormat="1" applyFont="1" applyFill="1" applyBorder="1"/>
    <xf numFmtId="170" fontId="14" fillId="7" borderId="24" xfId="1" applyNumberFormat="1" applyFont="1" applyFill="1" applyBorder="1"/>
    <xf numFmtId="0" fontId="17" fillId="10" borderId="57" xfId="9" applyFont="1" applyFill="1" applyBorder="1" applyAlignment="1">
      <alignment horizontal="center" vertical="center" wrapText="1"/>
    </xf>
    <xf numFmtId="0" fontId="14" fillId="10" borderId="20" xfId="9" applyFont="1" applyFill="1" applyBorder="1" applyAlignment="1">
      <alignment horizontal="center"/>
    </xf>
    <xf numFmtId="0" fontId="14" fillId="10" borderId="20" xfId="9" applyFont="1" applyFill="1" applyBorder="1" applyAlignment="1">
      <alignment horizontal="right"/>
    </xf>
    <xf numFmtId="167" fontId="14" fillId="10" borderId="20" xfId="10" applyNumberFormat="1" applyFont="1" applyFill="1" applyBorder="1"/>
    <xf numFmtId="0" fontId="17" fillId="10" borderId="18" xfId="9" applyFont="1" applyFill="1" applyBorder="1" applyAlignment="1">
      <alignment horizontal="center" vertical="center" wrapText="1"/>
    </xf>
    <xf numFmtId="0" fontId="17" fillId="10" borderId="73" xfId="9" applyFont="1" applyFill="1" applyBorder="1" applyAlignment="1">
      <alignment horizontal="center" vertical="center" wrapText="1"/>
    </xf>
    <xf numFmtId="0" fontId="17" fillId="10" borderId="48" xfId="9" applyFont="1" applyFill="1" applyBorder="1" applyAlignment="1">
      <alignment horizontal="center" vertical="center" wrapText="1"/>
    </xf>
    <xf numFmtId="0" fontId="5" fillId="10" borderId="73" xfId="9" applyFill="1" applyBorder="1" applyAlignment="1">
      <alignment horizontal="center" vertical="center" wrapText="1"/>
    </xf>
    <xf numFmtId="0" fontId="5" fillId="10" borderId="1" xfId="9" applyFill="1" applyBorder="1" applyAlignment="1">
      <alignment horizontal="center" vertical="center" wrapText="1"/>
    </xf>
    <xf numFmtId="0" fontId="5" fillId="10" borderId="2" xfId="9" applyFill="1" applyBorder="1"/>
    <xf numFmtId="170" fontId="14" fillId="10" borderId="66" xfId="1" applyNumberFormat="1" applyFont="1" applyFill="1" applyBorder="1" applyAlignment="1">
      <alignment horizontal="center"/>
    </xf>
    <xf numFmtId="170" fontId="14" fillId="10" borderId="20" xfId="1" applyNumberFormat="1" applyFont="1" applyFill="1" applyBorder="1"/>
    <xf numFmtId="170" fontId="14" fillId="10" borderId="24" xfId="1" applyNumberFormat="1" applyFont="1" applyFill="1" applyBorder="1"/>
    <xf numFmtId="170" fontId="14" fillId="10" borderId="58" xfId="1" applyNumberFormat="1" applyFont="1" applyFill="1" applyBorder="1"/>
    <xf numFmtId="170" fontId="14" fillId="10" borderId="0" xfId="1" applyNumberFormat="1" applyFont="1" applyFill="1" applyBorder="1"/>
    <xf numFmtId="170" fontId="14" fillId="10" borderId="54" xfId="1" applyNumberFormat="1" applyFont="1" applyFill="1" applyBorder="1"/>
    <xf numFmtId="170" fontId="5" fillId="10" borderId="73" xfId="1" applyNumberFormat="1" applyFont="1" applyFill="1" applyBorder="1" applyAlignment="1">
      <alignment horizontal="right"/>
    </xf>
    <xf numFmtId="170" fontId="5" fillId="10" borderId="1" xfId="1" applyNumberFormat="1" applyFont="1" applyFill="1" applyBorder="1" applyAlignment="1">
      <alignment horizontal="center"/>
    </xf>
    <xf numFmtId="170" fontId="5" fillId="10" borderId="3" xfId="1" applyNumberFormat="1" applyFont="1" applyFill="1" applyBorder="1" applyAlignment="1">
      <alignment horizontal="center"/>
    </xf>
    <xf numFmtId="170" fontId="5" fillId="10" borderId="73" xfId="1" applyNumberFormat="1" applyFont="1" applyFill="1" applyBorder="1" applyAlignment="1">
      <alignment horizontal="center"/>
    </xf>
    <xf numFmtId="170" fontId="5" fillId="10" borderId="1" xfId="1" applyNumberFormat="1" applyFont="1" applyFill="1" applyBorder="1" applyAlignment="1">
      <alignment horizontal="right"/>
    </xf>
    <xf numFmtId="170" fontId="5" fillId="10" borderId="2" xfId="1" applyNumberFormat="1" applyFont="1" applyFill="1" applyBorder="1" applyAlignment="1">
      <alignment horizontal="center"/>
    </xf>
    <xf numFmtId="170" fontId="14" fillId="10" borderId="66" xfId="1" applyNumberFormat="1" applyFont="1" applyFill="1" applyBorder="1"/>
    <xf numFmtId="0" fontId="17" fillId="10" borderId="66" xfId="9" applyFont="1" applyFill="1" applyBorder="1" applyAlignment="1">
      <alignment horizontal="center" vertical="center" wrapText="1"/>
    </xf>
    <xf numFmtId="0" fontId="17" fillId="10" borderId="54" xfId="9" applyFont="1" applyFill="1" applyBorder="1" applyAlignment="1">
      <alignment horizontal="center" vertical="center" wrapText="1"/>
    </xf>
    <xf numFmtId="0" fontId="5" fillId="10" borderId="26" xfId="9" applyFill="1" applyBorder="1" applyAlignment="1">
      <alignment horizontal="center" vertical="center" wrapText="1"/>
    </xf>
    <xf numFmtId="0" fontId="5" fillId="10" borderId="10" xfId="9" applyFill="1" applyBorder="1" applyAlignment="1">
      <alignment horizontal="center" vertical="center" wrapText="1"/>
    </xf>
    <xf numFmtId="0" fontId="5" fillId="10" borderId="62" xfId="9" applyFill="1" applyBorder="1"/>
    <xf numFmtId="170" fontId="5" fillId="10" borderId="26" xfId="1" applyNumberFormat="1" applyFont="1" applyFill="1" applyBorder="1" applyAlignment="1">
      <alignment horizontal="right"/>
    </xf>
    <xf numFmtId="170" fontId="5" fillId="10" borderId="10" xfId="1" applyNumberFormat="1" applyFont="1" applyFill="1" applyBorder="1" applyAlignment="1">
      <alignment horizontal="center"/>
    </xf>
    <xf numFmtId="170" fontId="5" fillId="10" borderId="11" xfId="1" applyNumberFormat="1" applyFont="1" applyFill="1" applyBorder="1" applyAlignment="1">
      <alignment horizontal="center"/>
    </xf>
    <xf numFmtId="170" fontId="5" fillId="10" borderId="26" xfId="1" applyNumberFormat="1" applyFont="1" applyFill="1" applyBorder="1" applyAlignment="1">
      <alignment horizontal="center"/>
    </xf>
    <xf numFmtId="170" fontId="5" fillId="10" borderId="10" xfId="1" applyNumberFormat="1" applyFont="1" applyFill="1" applyBorder="1" applyAlignment="1">
      <alignment horizontal="right"/>
    </xf>
    <xf numFmtId="170" fontId="5" fillId="10" borderId="62" xfId="1" applyNumberFormat="1" applyFont="1" applyFill="1" applyBorder="1" applyAlignment="1">
      <alignment horizontal="center"/>
    </xf>
    <xf numFmtId="0" fontId="5" fillId="10" borderId="57" xfId="9" applyFill="1" applyBorder="1" applyAlignment="1">
      <alignment horizontal="center" vertical="center" wrapText="1"/>
    </xf>
    <xf numFmtId="0" fontId="5" fillId="10" borderId="20" xfId="9" applyFill="1" applyBorder="1" applyAlignment="1">
      <alignment horizontal="center" vertical="center" wrapText="1"/>
    </xf>
    <xf numFmtId="0" fontId="5" fillId="10" borderId="53" xfId="9" applyFill="1" applyBorder="1"/>
    <xf numFmtId="170" fontId="5" fillId="10" borderId="57" xfId="1" applyNumberFormat="1" applyFont="1" applyFill="1" applyBorder="1" applyAlignment="1">
      <alignment horizontal="right"/>
    </xf>
    <xf numFmtId="170" fontId="5" fillId="10" borderId="20" xfId="1" applyNumberFormat="1" applyFont="1" applyFill="1" applyBorder="1" applyAlignment="1">
      <alignment horizontal="center"/>
    </xf>
    <xf numFmtId="170" fontId="5" fillId="10" borderId="24" xfId="1" applyNumberFormat="1" applyFont="1" applyFill="1" applyBorder="1" applyAlignment="1">
      <alignment horizontal="center"/>
    </xf>
    <xf numFmtId="170" fontId="5" fillId="10" borderId="57" xfId="1" applyNumberFormat="1" applyFont="1" applyFill="1" applyBorder="1" applyAlignment="1">
      <alignment horizontal="center"/>
    </xf>
    <xf numFmtId="170" fontId="5" fillId="10" borderId="53" xfId="1" applyNumberFormat="1" applyFont="1" applyFill="1" applyBorder="1" applyAlignment="1">
      <alignment horizontal="center"/>
    </xf>
    <xf numFmtId="0" fontId="17" fillId="10" borderId="33" xfId="9" applyFont="1" applyFill="1" applyBorder="1" applyAlignment="1">
      <alignment horizontal="center" vertical="center" wrapText="1"/>
    </xf>
    <xf numFmtId="0" fontId="17" fillId="10" borderId="40" xfId="9" applyFont="1" applyFill="1" applyBorder="1" applyAlignment="1">
      <alignment horizontal="center" vertical="center" wrapText="1"/>
    </xf>
    <xf numFmtId="0" fontId="17" fillId="10" borderId="67" xfId="9" applyFont="1" applyFill="1" applyBorder="1" applyAlignment="1">
      <alignment horizontal="center" vertical="center" wrapText="1"/>
    </xf>
    <xf numFmtId="0" fontId="14" fillId="10" borderId="31" xfId="9" applyFont="1" applyFill="1" applyBorder="1" applyAlignment="1">
      <alignment horizontal="center"/>
    </xf>
    <xf numFmtId="0" fontId="14" fillId="10" borderId="22" xfId="9" applyFont="1" applyFill="1" applyBorder="1" applyAlignment="1">
      <alignment horizontal="center"/>
    </xf>
    <xf numFmtId="0" fontId="14" fillId="10" borderId="29" xfId="9" applyFont="1" applyFill="1" applyBorder="1" applyAlignment="1">
      <alignment horizontal="right"/>
    </xf>
    <xf numFmtId="170" fontId="14" fillId="10" borderId="31" xfId="1" applyNumberFormat="1" applyFont="1" applyFill="1" applyBorder="1" applyAlignment="1">
      <alignment horizontal="right"/>
    </xf>
    <xf numFmtId="170" fontId="14" fillId="10" borderId="22" xfId="1" applyNumberFormat="1" applyFont="1" applyFill="1" applyBorder="1" applyAlignment="1">
      <alignment horizontal="center"/>
    </xf>
    <xf numFmtId="170" fontId="14" fillId="10" borderId="22" xfId="1" applyNumberFormat="1" applyFont="1" applyFill="1" applyBorder="1"/>
    <xf numFmtId="170" fontId="14" fillId="10" borderId="23" xfId="1" applyNumberFormat="1" applyFont="1" applyFill="1" applyBorder="1"/>
    <xf numFmtId="170" fontId="14" fillId="10" borderId="31" xfId="1" applyNumberFormat="1" applyFont="1" applyFill="1" applyBorder="1"/>
    <xf numFmtId="170" fontId="14" fillId="10" borderId="22" xfId="1" applyNumberFormat="1" applyFont="1" applyFill="1" applyBorder="1" applyAlignment="1">
      <alignment horizontal="right"/>
    </xf>
    <xf numFmtId="170" fontId="14" fillId="10" borderId="29" xfId="1" applyNumberFormat="1" applyFont="1" applyFill="1" applyBorder="1"/>
    <xf numFmtId="0" fontId="17" fillId="22" borderId="57" xfId="9" applyFont="1" applyFill="1" applyBorder="1" applyAlignment="1">
      <alignment horizontal="center" vertical="center" wrapText="1"/>
    </xf>
    <xf numFmtId="0" fontId="14" fillId="22" borderId="20" xfId="9" applyFont="1" applyFill="1" applyBorder="1" applyAlignment="1">
      <alignment horizontal="center"/>
    </xf>
    <xf numFmtId="0" fontId="14" fillId="22" borderId="20" xfId="9" applyFont="1" applyFill="1" applyBorder="1" applyAlignment="1">
      <alignment horizontal="right"/>
    </xf>
    <xf numFmtId="167" fontId="14" fillId="22" borderId="20" xfId="10" applyNumberFormat="1" applyFont="1" applyFill="1" applyBorder="1"/>
    <xf numFmtId="0" fontId="17" fillId="22" borderId="18" xfId="9" applyFont="1" applyFill="1" applyBorder="1" applyAlignment="1">
      <alignment horizontal="center" vertical="center" wrapText="1"/>
    </xf>
    <xf numFmtId="0" fontId="17" fillId="22" borderId="73" xfId="9" applyFont="1" applyFill="1" applyBorder="1" applyAlignment="1">
      <alignment horizontal="center" vertical="center" wrapText="1"/>
    </xf>
    <xf numFmtId="0" fontId="17" fillId="22" borderId="48" xfId="9" applyFont="1" applyFill="1" applyBorder="1" applyAlignment="1">
      <alignment horizontal="center" vertical="center" wrapText="1"/>
    </xf>
    <xf numFmtId="0" fontId="5" fillId="22" borderId="30" xfId="9" applyFill="1" applyBorder="1" applyAlignment="1">
      <alignment horizontal="center" vertical="center" wrapText="1"/>
    </xf>
    <xf numFmtId="0" fontId="5" fillId="22" borderId="5" xfId="9" applyFill="1" applyBorder="1" applyAlignment="1">
      <alignment horizontal="center" vertical="center" wrapText="1"/>
    </xf>
    <xf numFmtId="0" fontId="5" fillId="22" borderId="63" xfId="9" applyFill="1" applyBorder="1"/>
    <xf numFmtId="170" fontId="14" fillId="22" borderId="66" xfId="1" applyNumberFormat="1" applyFont="1" applyFill="1" applyBorder="1" applyAlignment="1">
      <alignment horizontal="center"/>
    </xf>
    <xf numFmtId="170" fontId="14" fillId="22" borderId="20" xfId="1" applyNumberFormat="1" applyFont="1" applyFill="1" applyBorder="1"/>
    <xf numFmtId="170" fontId="14" fillId="22" borderId="24" xfId="1" applyNumberFormat="1" applyFont="1" applyFill="1" applyBorder="1"/>
    <xf numFmtId="170" fontId="14" fillId="22" borderId="58" xfId="1" applyNumberFormat="1" applyFont="1" applyFill="1" applyBorder="1"/>
    <xf numFmtId="170" fontId="14" fillId="22" borderId="0" xfId="1" applyNumberFormat="1" applyFont="1" applyFill="1" applyBorder="1"/>
    <xf numFmtId="170" fontId="14" fillId="22" borderId="54" xfId="1" applyNumberFormat="1" applyFont="1" applyFill="1" applyBorder="1"/>
    <xf numFmtId="170" fontId="5" fillId="22" borderId="73" xfId="1" applyNumberFormat="1" applyFont="1" applyFill="1" applyBorder="1" applyAlignment="1">
      <alignment horizontal="right"/>
    </xf>
    <xf numFmtId="170" fontId="5" fillId="22" borderId="1" xfId="1" applyNumberFormat="1" applyFont="1" applyFill="1" applyBorder="1" applyAlignment="1">
      <alignment horizontal="center"/>
    </xf>
    <xf numFmtId="170" fontId="5" fillId="22" borderId="3" xfId="1" applyNumberFormat="1" applyFont="1" applyFill="1" applyBorder="1" applyAlignment="1">
      <alignment horizontal="center"/>
    </xf>
    <xf numFmtId="170" fontId="5" fillId="22" borderId="73" xfId="1" applyNumberFormat="1" applyFont="1" applyFill="1" applyBorder="1" applyAlignment="1">
      <alignment horizontal="center"/>
    </xf>
    <xf numFmtId="170" fontId="5" fillId="22" borderId="1" xfId="1" applyNumberFormat="1" applyFont="1" applyFill="1" applyBorder="1" applyAlignment="1">
      <alignment horizontal="right"/>
    </xf>
    <xf numFmtId="170" fontId="5" fillId="22" borderId="2" xfId="1" applyNumberFormat="1" applyFont="1" applyFill="1" applyBorder="1" applyAlignment="1">
      <alignment horizontal="center"/>
    </xf>
    <xf numFmtId="170" fontId="14" fillId="22" borderId="66" xfId="1" applyNumberFormat="1" applyFont="1" applyFill="1" applyBorder="1"/>
    <xf numFmtId="0" fontId="17" fillId="22" borderId="33" xfId="9" applyFont="1" applyFill="1" applyBorder="1" applyAlignment="1">
      <alignment horizontal="center" vertical="center" wrapText="1"/>
    </xf>
    <xf numFmtId="0" fontId="17" fillId="22" borderId="40" xfId="9" applyFont="1" applyFill="1" applyBorder="1" applyAlignment="1">
      <alignment horizontal="center" vertical="center" wrapText="1"/>
    </xf>
    <xf numFmtId="0" fontId="17" fillId="22" borderId="67" xfId="9" applyFont="1" applyFill="1" applyBorder="1" applyAlignment="1">
      <alignment horizontal="center" vertical="center" wrapText="1"/>
    </xf>
    <xf numFmtId="0" fontId="14" fillId="22" borderId="31" xfId="9" applyFont="1" applyFill="1" applyBorder="1" applyAlignment="1">
      <alignment horizontal="center"/>
    </xf>
    <xf numFmtId="0" fontId="14" fillId="22" borderId="22" xfId="9" applyFont="1" applyFill="1" applyBorder="1" applyAlignment="1">
      <alignment horizontal="center"/>
    </xf>
    <xf numFmtId="0" fontId="14" fillId="22" borderId="29" xfId="9" applyFont="1" applyFill="1" applyBorder="1" applyAlignment="1">
      <alignment horizontal="right"/>
    </xf>
    <xf numFmtId="170" fontId="14" fillId="22" borderId="31" xfId="1" applyNumberFormat="1" applyFont="1" applyFill="1" applyBorder="1" applyAlignment="1">
      <alignment horizontal="right"/>
    </xf>
    <xf numFmtId="170" fontId="14" fillId="22" borderId="22" xfId="1" applyNumberFormat="1" applyFont="1" applyFill="1" applyBorder="1" applyAlignment="1">
      <alignment horizontal="center"/>
    </xf>
    <xf numFmtId="170" fontId="14" fillId="22" borderId="22" xfId="1" applyNumberFormat="1" applyFont="1" applyFill="1" applyBorder="1"/>
    <xf numFmtId="170" fontId="14" fillId="22" borderId="23" xfId="1" applyNumberFormat="1" applyFont="1" applyFill="1" applyBorder="1"/>
    <xf numFmtId="170" fontId="14" fillId="22" borderId="31" xfId="1" applyNumberFormat="1" applyFont="1" applyFill="1" applyBorder="1"/>
    <xf numFmtId="170" fontId="14" fillId="22" borderId="22" xfId="1" applyNumberFormat="1" applyFont="1" applyFill="1" applyBorder="1" applyAlignment="1">
      <alignment horizontal="right"/>
    </xf>
    <xf numFmtId="170" fontId="14" fillId="22" borderId="29" xfId="1" applyNumberFormat="1" applyFont="1" applyFill="1" applyBorder="1"/>
    <xf numFmtId="0" fontId="17" fillId="2" borderId="57" xfId="9" applyFont="1" applyFill="1" applyBorder="1" applyAlignment="1">
      <alignment horizontal="center" vertical="center" wrapText="1"/>
    </xf>
    <xf numFmtId="0" fontId="14" fillId="2" borderId="20" xfId="9" applyFont="1" applyFill="1" applyBorder="1" applyAlignment="1">
      <alignment horizontal="center"/>
    </xf>
    <xf numFmtId="0" fontId="14" fillId="2" borderId="20" xfId="9" applyFont="1" applyFill="1" applyBorder="1" applyAlignment="1">
      <alignment horizontal="right"/>
    </xf>
    <xf numFmtId="167" fontId="14" fillId="2" borderId="20" xfId="10" applyNumberFormat="1" applyFont="1" applyFill="1" applyBorder="1"/>
    <xf numFmtId="0" fontId="17" fillId="2" borderId="18" xfId="9" applyFont="1" applyFill="1" applyBorder="1" applyAlignment="1">
      <alignment horizontal="center" vertical="center" wrapText="1"/>
    </xf>
    <xf numFmtId="0" fontId="17" fillId="2" borderId="73" xfId="9" applyFont="1" applyFill="1" applyBorder="1" applyAlignment="1">
      <alignment horizontal="center" vertical="center" wrapText="1"/>
    </xf>
    <xf numFmtId="0" fontId="17" fillId="2" borderId="48" xfId="9" applyFont="1" applyFill="1" applyBorder="1" applyAlignment="1">
      <alignment horizontal="center" vertical="center" wrapText="1"/>
    </xf>
    <xf numFmtId="0" fontId="5" fillId="2" borderId="73" xfId="9" applyFont="1" applyFill="1" applyBorder="1" applyAlignment="1">
      <alignment horizontal="center"/>
    </xf>
    <xf numFmtId="0" fontId="5" fillId="2" borderId="1" xfId="9" applyFont="1" applyFill="1" applyBorder="1" applyAlignment="1">
      <alignment horizontal="center"/>
    </xf>
    <xf numFmtId="0" fontId="5" fillId="2" borderId="2" xfId="9" applyFont="1" applyFill="1" applyBorder="1" applyAlignment="1">
      <alignment horizontal="right"/>
    </xf>
    <xf numFmtId="170" fontId="14" fillId="2" borderId="66" xfId="1" applyNumberFormat="1" applyFont="1" applyFill="1" applyBorder="1" applyAlignment="1">
      <alignment horizontal="center"/>
    </xf>
    <xf numFmtId="170" fontId="14" fillId="2" borderId="20" xfId="1" applyNumberFormat="1" applyFont="1" applyFill="1" applyBorder="1"/>
    <xf numFmtId="170" fontId="14" fillId="2" borderId="24" xfId="1" applyNumberFormat="1" applyFont="1" applyFill="1" applyBorder="1"/>
    <xf numFmtId="170" fontId="14" fillId="2" borderId="58" xfId="1" applyNumberFormat="1" applyFont="1" applyFill="1" applyBorder="1"/>
    <xf numFmtId="170" fontId="14" fillId="2" borderId="0" xfId="1" applyNumberFormat="1" applyFont="1" applyFill="1" applyBorder="1"/>
    <xf numFmtId="170" fontId="14" fillId="2" borderId="54" xfId="1" applyNumberFormat="1" applyFont="1" applyFill="1" applyBorder="1"/>
    <xf numFmtId="170" fontId="5" fillId="2" borderId="73" xfId="1" applyNumberFormat="1" applyFont="1" applyFill="1" applyBorder="1" applyAlignment="1">
      <alignment horizontal="right"/>
    </xf>
    <xf numFmtId="170" fontId="5" fillId="2" borderId="1" xfId="1" applyNumberFormat="1" applyFont="1" applyFill="1" applyBorder="1" applyAlignment="1">
      <alignment horizontal="center"/>
    </xf>
    <xf numFmtId="170" fontId="5" fillId="2" borderId="1" xfId="1" applyNumberFormat="1" applyFont="1" applyFill="1" applyBorder="1"/>
    <xf numFmtId="170" fontId="5" fillId="2" borderId="3" xfId="1" applyNumberFormat="1" applyFont="1" applyFill="1" applyBorder="1"/>
    <xf numFmtId="170" fontId="5" fillId="2" borderId="73" xfId="1" applyNumberFormat="1" applyFont="1" applyFill="1" applyBorder="1"/>
    <xf numFmtId="170" fontId="5" fillId="2" borderId="2" xfId="1" applyNumberFormat="1" applyFont="1" applyFill="1" applyBorder="1"/>
    <xf numFmtId="170" fontId="14" fillId="2" borderId="66" xfId="1" applyNumberFormat="1" applyFont="1" applyFill="1" applyBorder="1"/>
    <xf numFmtId="0" fontId="17" fillId="2" borderId="33" xfId="9" applyFont="1" applyFill="1" applyBorder="1" applyAlignment="1">
      <alignment horizontal="center" vertical="center" wrapText="1"/>
    </xf>
    <xf numFmtId="0" fontId="17" fillId="2" borderId="40" xfId="9" applyFont="1" applyFill="1" applyBorder="1" applyAlignment="1">
      <alignment horizontal="center" vertical="center" wrapText="1"/>
    </xf>
    <xf numFmtId="0" fontId="17" fillId="2" borderId="67" xfId="9" applyFont="1" applyFill="1" applyBorder="1" applyAlignment="1">
      <alignment horizontal="center" vertical="center" wrapText="1"/>
    </xf>
    <xf numFmtId="170" fontId="14" fillId="2" borderId="31" xfId="1" applyNumberFormat="1" applyFont="1" applyFill="1" applyBorder="1" applyAlignment="1">
      <alignment horizontal="right"/>
    </xf>
    <xf numFmtId="170" fontId="14" fillId="2" borderId="22" xfId="1" applyNumberFormat="1" applyFont="1" applyFill="1" applyBorder="1" applyAlignment="1">
      <alignment horizontal="center"/>
    </xf>
    <xf numFmtId="170" fontId="14" fillId="2" borderId="22" xfId="1" applyNumberFormat="1" applyFont="1" applyFill="1" applyBorder="1" applyAlignment="1">
      <alignment horizontal="right"/>
    </xf>
    <xf numFmtId="0" fontId="17" fillId="8" borderId="57" xfId="9" applyFont="1" applyFill="1" applyBorder="1" applyAlignment="1">
      <alignment horizontal="center" vertical="center" wrapText="1"/>
    </xf>
    <xf numFmtId="0" fontId="14" fillId="8" borderId="20" xfId="9" applyFont="1" applyFill="1" applyBorder="1" applyAlignment="1">
      <alignment horizontal="center"/>
    </xf>
    <xf numFmtId="0" fontId="14" fillId="8" borderId="20" xfId="9" applyFont="1" applyFill="1" applyBorder="1" applyAlignment="1">
      <alignment horizontal="right"/>
    </xf>
    <xf numFmtId="167" fontId="14" fillId="8" borderId="20" xfId="10" applyNumberFormat="1" applyFont="1" applyFill="1" applyBorder="1"/>
    <xf numFmtId="0" fontId="17" fillId="8" borderId="66" xfId="9" applyFont="1" applyFill="1" applyBorder="1" applyAlignment="1">
      <alignment horizontal="center" vertical="center" wrapText="1"/>
    </xf>
    <xf numFmtId="0" fontId="17" fillId="8" borderId="54" xfId="9" applyFont="1" applyFill="1" applyBorder="1" applyAlignment="1">
      <alignment horizontal="center" vertical="center" wrapText="1"/>
    </xf>
    <xf numFmtId="0" fontId="5" fillId="8" borderId="72" xfId="9" applyFont="1" applyFill="1" applyBorder="1" applyAlignment="1">
      <alignment horizontal="center"/>
    </xf>
    <xf numFmtId="0" fontId="5" fillId="8" borderId="21" xfId="9" applyFont="1" applyFill="1" applyBorder="1" applyAlignment="1">
      <alignment horizontal="center"/>
    </xf>
    <xf numFmtId="0" fontId="5" fillId="8" borderId="70" xfId="9" applyFont="1" applyFill="1" applyBorder="1" applyAlignment="1">
      <alignment horizontal="right"/>
    </xf>
    <xf numFmtId="170" fontId="14" fillId="8" borderId="66" xfId="1" applyNumberFormat="1" applyFont="1" applyFill="1" applyBorder="1" applyAlignment="1">
      <alignment horizontal="center"/>
    </xf>
    <xf numFmtId="170" fontId="14" fillId="8" borderId="20" xfId="1" applyNumberFormat="1" applyFont="1" applyFill="1" applyBorder="1"/>
    <xf numFmtId="170" fontId="14" fillId="8" borderId="24" xfId="1" applyNumberFormat="1" applyFont="1" applyFill="1" applyBorder="1"/>
    <xf numFmtId="170" fontId="14" fillId="8" borderId="58" xfId="1" applyNumberFormat="1" applyFont="1" applyFill="1" applyBorder="1"/>
    <xf numFmtId="170" fontId="14" fillId="8" borderId="0" xfId="1" applyNumberFormat="1" applyFont="1" applyFill="1" applyBorder="1"/>
    <xf numFmtId="170" fontId="14" fillId="8" borderId="54" xfId="1" applyNumberFormat="1" applyFont="1" applyFill="1" applyBorder="1"/>
    <xf numFmtId="170" fontId="5" fillId="8" borderId="72" xfId="1" applyNumberFormat="1" applyFont="1" applyFill="1" applyBorder="1" applyAlignment="1">
      <alignment horizontal="right"/>
    </xf>
    <xf numFmtId="170" fontId="5" fillId="8" borderId="21" xfId="1" applyNumberFormat="1" applyFont="1" applyFill="1" applyBorder="1" applyAlignment="1">
      <alignment horizontal="center"/>
    </xf>
    <xf numFmtId="170" fontId="5" fillId="8" borderId="14" xfId="1" applyNumberFormat="1" applyFont="1" applyFill="1" applyBorder="1" applyAlignment="1">
      <alignment horizontal="center"/>
    </xf>
    <xf numFmtId="170" fontId="5" fillId="8" borderId="72" xfId="1" applyNumberFormat="1" applyFont="1" applyFill="1" applyBorder="1" applyAlignment="1">
      <alignment horizontal="center"/>
    </xf>
    <xf numFmtId="170" fontId="5" fillId="8" borderId="21" xfId="1" applyNumberFormat="1" applyFont="1" applyFill="1" applyBorder="1" applyAlignment="1">
      <alignment horizontal="right"/>
    </xf>
    <xf numFmtId="170" fontId="5" fillId="8" borderId="70" xfId="1" applyNumberFormat="1" applyFont="1" applyFill="1" applyBorder="1" applyAlignment="1">
      <alignment horizontal="center"/>
    </xf>
    <xf numFmtId="170" fontId="14" fillId="8" borderId="66" xfId="1" applyNumberFormat="1" applyFont="1" applyFill="1" applyBorder="1"/>
    <xf numFmtId="0" fontId="5" fillId="8" borderId="57" xfId="9" applyFont="1" applyFill="1" applyBorder="1" applyAlignment="1">
      <alignment horizontal="center"/>
    </xf>
    <xf numFmtId="0" fontId="14" fillId="8" borderId="42" xfId="9" applyFont="1" applyFill="1" applyBorder="1" applyAlignment="1">
      <alignment horizontal="center"/>
    </xf>
    <xf numFmtId="0" fontId="14" fillId="8" borderId="8" xfId="9" applyFont="1" applyFill="1" applyBorder="1" applyAlignment="1">
      <alignment horizontal="center"/>
    </xf>
    <xf numFmtId="0" fontId="14" fillId="8" borderId="37" xfId="9" applyFont="1" applyFill="1" applyBorder="1" applyAlignment="1">
      <alignment horizontal="right"/>
    </xf>
    <xf numFmtId="170" fontId="14" fillId="8" borderId="42" xfId="1" applyNumberFormat="1" applyFont="1" applyFill="1" applyBorder="1" applyAlignment="1">
      <alignment horizontal="right"/>
    </xf>
    <xf numFmtId="170" fontId="14" fillId="8" borderId="8" xfId="1" applyNumberFormat="1" applyFont="1" applyFill="1" applyBorder="1" applyAlignment="1">
      <alignment horizontal="center"/>
    </xf>
    <xf numFmtId="170" fontId="14" fillId="8" borderId="8" xfId="1" applyNumberFormat="1" applyFont="1" applyFill="1" applyBorder="1"/>
    <xf numFmtId="170" fontId="14" fillId="8" borderId="12" xfId="1" applyNumberFormat="1" applyFont="1" applyFill="1" applyBorder="1"/>
    <xf numFmtId="170" fontId="14" fillId="8" borderId="42" xfId="1" applyNumberFormat="1" applyFont="1" applyFill="1" applyBorder="1"/>
    <xf numFmtId="170" fontId="14" fillId="8" borderId="8" xfId="1" applyNumberFormat="1" applyFont="1" applyFill="1" applyBorder="1" applyAlignment="1">
      <alignment horizontal="right"/>
    </xf>
    <xf numFmtId="170" fontId="14" fillId="8" borderId="37" xfId="1" applyNumberFormat="1" applyFont="1" applyFill="1" applyBorder="1"/>
    <xf numFmtId="0" fontId="17" fillId="12" borderId="57" xfId="9" applyFont="1" applyFill="1" applyBorder="1" applyAlignment="1">
      <alignment horizontal="center" vertical="center" wrapText="1"/>
    </xf>
    <xf numFmtId="0" fontId="14" fillId="12" borderId="20" xfId="9" applyFont="1" applyFill="1" applyBorder="1" applyAlignment="1">
      <alignment horizontal="center"/>
    </xf>
    <xf numFmtId="0" fontId="14" fillId="12" borderId="20" xfId="9" applyFont="1" applyFill="1" applyBorder="1" applyAlignment="1">
      <alignment horizontal="right"/>
    </xf>
    <xf numFmtId="167" fontId="14" fillId="12" borderId="20" xfId="10" applyNumberFormat="1" applyFont="1" applyFill="1" applyBorder="1"/>
    <xf numFmtId="0" fontId="17" fillId="12" borderId="18" xfId="9" applyFont="1" applyFill="1" applyBorder="1" applyAlignment="1">
      <alignment horizontal="center" vertical="center" wrapText="1"/>
    </xf>
    <xf numFmtId="0" fontId="17" fillId="12" borderId="73" xfId="9" applyFont="1" applyFill="1" applyBorder="1" applyAlignment="1">
      <alignment horizontal="center" vertical="center" wrapText="1"/>
    </xf>
    <xf numFmtId="0" fontId="17" fillId="12" borderId="48" xfId="9" applyFont="1" applyFill="1" applyBorder="1" applyAlignment="1">
      <alignment horizontal="center" vertical="center" wrapText="1"/>
    </xf>
    <xf numFmtId="0" fontId="5" fillId="12" borderId="30" xfId="9" applyFill="1" applyBorder="1" applyAlignment="1">
      <alignment horizontal="center" vertical="center" wrapText="1"/>
    </xf>
    <xf numFmtId="0" fontId="5" fillId="12" borderId="5" xfId="9" applyFill="1" applyBorder="1" applyAlignment="1">
      <alignment horizontal="center" vertical="center" wrapText="1"/>
    </xf>
    <xf numFmtId="0" fontId="5" fillId="12" borderId="63" xfId="9" applyFill="1" applyBorder="1"/>
    <xf numFmtId="170" fontId="14" fillId="12" borderId="66" xfId="1" applyNumberFormat="1" applyFont="1" applyFill="1" applyBorder="1" applyAlignment="1">
      <alignment horizontal="center"/>
    </xf>
    <xf numFmtId="170" fontId="14" fillId="12" borderId="20" xfId="1" applyNumberFormat="1" applyFont="1" applyFill="1" applyBorder="1"/>
    <xf numFmtId="170" fontId="14" fillId="12" borderId="24" xfId="1" applyNumberFormat="1" applyFont="1" applyFill="1" applyBorder="1"/>
    <xf numFmtId="170" fontId="14" fillId="12" borderId="58" xfId="1" applyNumberFormat="1" applyFont="1" applyFill="1" applyBorder="1"/>
    <xf numFmtId="170" fontId="14" fillId="12" borderId="0" xfId="1" applyNumberFormat="1" applyFont="1" applyFill="1" applyBorder="1"/>
    <xf numFmtId="170" fontId="14" fillId="12" borderId="54" xfId="1" applyNumberFormat="1" applyFont="1" applyFill="1" applyBorder="1"/>
    <xf numFmtId="170" fontId="5" fillId="12" borderId="73" xfId="1" applyNumberFormat="1" applyFont="1" applyFill="1" applyBorder="1" applyAlignment="1">
      <alignment horizontal="right"/>
    </xf>
    <xf numFmtId="170" fontId="5" fillId="12" borderId="1" xfId="1" applyNumberFormat="1" applyFont="1" applyFill="1" applyBorder="1" applyAlignment="1">
      <alignment horizontal="center"/>
    </xf>
    <xf numFmtId="170" fontId="5" fillId="12" borderId="3" xfId="1" applyNumberFormat="1" applyFont="1" applyFill="1" applyBorder="1" applyAlignment="1">
      <alignment horizontal="center"/>
    </xf>
    <xf numFmtId="170" fontId="5" fillId="12" borderId="73" xfId="1" applyNumberFormat="1" applyFont="1" applyFill="1" applyBorder="1" applyAlignment="1">
      <alignment horizontal="center"/>
    </xf>
    <xf numFmtId="170" fontId="5" fillId="12" borderId="1" xfId="1" applyNumberFormat="1" applyFont="1" applyFill="1" applyBorder="1" applyAlignment="1">
      <alignment horizontal="right"/>
    </xf>
    <xf numFmtId="170" fontId="5" fillId="12" borderId="2" xfId="1" applyNumberFormat="1" applyFont="1" applyFill="1" applyBorder="1" applyAlignment="1">
      <alignment horizontal="center"/>
    </xf>
    <xf numFmtId="170" fontId="14" fillId="12" borderId="66" xfId="1" applyNumberFormat="1" applyFont="1" applyFill="1" applyBorder="1"/>
    <xf numFmtId="0" fontId="17" fillId="12" borderId="33" xfId="9" applyFont="1" applyFill="1" applyBorder="1" applyAlignment="1">
      <alignment horizontal="center" vertical="center" wrapText="1"/>
    </xf>
    <xf numFmtId="0" fontId="17" fillId="12" borderId="40" xfId="9" applyFont="1" applyFill="1" applyBorder="1" applyAlignment="1">
      <alignment horizontal="center" vertical="center" wrapText="1"/>
    </xf>
    <xf numFmtId="0" fontId="17" fillId="12" borderId="67" xfId="9" applyFont="1" applyFill="1" applyBorder="1" applyAlignment="1">
      <alignment horizontal="center" vertical="center" wrapText="1"/>
    </xf>
    <xf numFmtId="0" fontId="14" fillId="12" borderId="31" xfId="9" applyFont="1" applyFill="1" applyBorder="1" applyAlignment="1">
      <alignment horizontal="center"/>
    </xf>
    <xf numFmtId="0" fontId="14" fillId="12" borderId="22" xfId="9" applyFont="1" applyFill="1" applyBorder="1" applyAlignment="1">
      <alignment horizontal="center"/>
    </xf>
    <xf numFmtId="0" fontId="14" fillId="12" borderId="29" xfId="9" applyFont="1" applyFill="1" applyBorder="1" applyAlignment="1">
      <alignment horizontal="right"/>
    </xf>
    <xf numFmtId="170" fontId="14" fillId="12" borderId="31" xfId="1" applyNumberFormat="1" applyFont="1" applyFill="1" applyBorder="1" applyAlignment="1">
      <alignment horizontal="right"/>
    </xf>
    <xf numFmtId="170" fontId="14" fillId="12" borderId="22" xfId="1" applyNumberFormat="1" applyFont="1" applyFill="1" applyBorder="1" applyAlignment="1">
      <alignment horizontal="center"/>
    </xf>
    <xf numFmtId="170" fontId="14" fillId="12" borderId="22" xfId="1" applyNumberFormat="1" applyFont="1" applyFill="1" applyBorder="1"/>
    <xf numFmtId="170" fontId="14" fillId="12" borderId="23" xfId="1" applyNumberFormat="1" applyFont="1" applyFill="1" applyBorder="1"/>
    <xf numFmtId="170" fontId="14" fillId="12" borderId="31" xfId="1" applyNumberFormat="1" applyFont="1" applyFill="1" applyBorder="1"/>
    <xf numFmtId="170" fontId="14" fillId="12" borderId="22" xfId="1" applyNumberFormat="1" applyFont="1" applyFill="1" applyBorder="1" applyAlignment="1">
      <alignment horizontal="right"/>
    </xf>
    <xf numFmtId="170" fontId="14" fillId="12" borderId="29" xfId="1" applyNumberFormat="1" applyFont="1" applyFill="1" applyBorder="1"/>
    <xf numFmtId="0" fontId="17" fillId="12" borderId="35" xfId="9" applyFont="1" applyFill="1" applyBorder="1" applyAlignment="1">
      <alignment horizontal="center" vertical="center" wrapText="1"/>
    </xf>
    <xf numFmtId="0" fontId="14" fillId="12" borderId="40" xfId="9" applyFont="1" applyFill="1" applyBorder="1" applyAlignment="1">
      <alignment horizontal="center"/>
    </xf>
    <xf numFmtId="0" fontId="14" fillId="12" borderId="36" xfId="9" applyFont="1" applyFill="1" applyBorder="1" applyAlignment="1">
      <alignment horizontal="center"/>
    </xf>
    <xf numFmtId="0" fontId="14" fillId="12" borderId="68" xfId="9" applyFont="1" applyFill="1" applyBorder="1" applyAlignment="1">
      <alignment horizontal="right"/>
    </xf>
    <xf numFmtId="170" fontId="14" fillId="12" borderId="40" xfId="1" applyNumberFormat="1" applyFont="1" applyFill="1" applyBorder="1" applyAlignment="1">
      <alignment horizontal="right"/>
    </xf>
    <xf numFmtId="170" fontId="14" fillId="12" borderId="36" xfId="1" applyNumberFormat="1" applyFont="1" applyFill="1" applyBorder="1" applyAlignment="1">
      <alignment horizontal="center"/>
    </xf>
    <xf numFmtId="170" fontId="14" fillId="12" borderId="36" xfId="1" applyNumberFormat="1" applyFont="1" applyFill="1" applyBorder="1"/>
    <xf numFmtId="170" fontId="14" fillId="12" borderId="56" xfId="1" applyNumberFormat="1" applyFont="1" applyFill="1" applyBorder="1"/>
    <xf numFmtId="170" fontId="14" fillId="12" borderId="40" xfId="1" applyNumberFormat="1" applyFont="1" applyFill="1" applyBorder="1"/>
    <xf numFmtId="170" fontId="14" fillId="12" borderId="36" xfId="1" applyNumberFormat="1" applyFont="1" applyFill="1" applyBorder="1" applyAlignment="1">
      <alignment horizontal="right"/>
    </xf>
    <xf numFmtId="170" fontId="14" fillId="12" borderId="68" xfId="1" applyNumberFormat="1" applyFont="1" applyFill="1" applyBorder="1"/>
    <xf numFmtId="0" fontId="13" fillId="9" borderId="33" xfId="9" applyFont="1" applyFill="1" applyBorder="1" applyAlignment="1">
      <alignment vertical="center" wrapText="1"/>
    </xf>
    <xf numFmtId="0" fontId="14" fillId="9" borderId="36" xfId="9" applyFont="1" applyFill="1" applyBorder="1" applyAlignment="1">
      <alignment horizontal="center"/>
    </xf>
    <xf numFmtId="167" fontId="14" fillId="9" borderId="36" xfId="9" applyNumberFormat="1" applyFont="1" applyFill="1" applyBorder="1"/>
    <xf numFmtId="0" fontId="13" fillId="9" borderId="35" xfId="9" applyFont="1" applyFill="1" applyBorder="1" applyAlignment="1">
      <alignment vertical="center" wrapText="1"/>
    </xf>
    <xf numFmtId="0" fontId="13" fillId="9" borderId="40" xfId="9" applyFont="1" applyFill="1" applyBorder="1" applyAlignment="1">
      <alignment vertical="center" wrapText="1"/>
    </xf>
    <xf numFmtId="0" fontId="13" fillId="9" borderId="67" xfId="9" applyFont="1" applyFill="1" applyBorder="1" applyAlignment="1">
      <alignment vertical="center" wrapText="1"/>
    </xf>
    <xf numFmtId="0" fontId="14" fillId="9" borderId="40" xfId="9" applyFont="1" applyFill="1" applyBorder="1" applyAlignment="1">
      <alignment horizontal="center"/>
    </xf>
    <xf numFmtId="0" fontId="14" fillId="9" borderId="68" xfId="9" applyFont="1" applyFill="1" applyBorder="1" applyAlignment="1">
      <alignment horizontal="center"/>
    </xf>
    <xf numFmtId="170" fontId="14" fillId="9" borderId="33" xfId="1" applyNumberFormat="1" applyFont="1" applyFill="1" applyBorder="1" applyAlignment="1">
      <alignment horizontal="center"/>
    </xf>
    <xf numFmtId="170" fontId="14" fillId="9" borderId="36" xfId="1" applyNumberFormat="1" applyFont="1" applyFill="1" applyBorder="1"/>
    <xf numFmtId="170" fontId="14" fillId="9" borderId="56" xfId="1" applyNumberFormat="1" applyFont="1" applyFill="1" applyBorder="1"/>
    <xf numFmtId="170" fontId="14" fillId="9" borderId="52" xfId="1" applyNumberFormat="1" applyFont="1" applyFill="1" applyBorder="1"/>
    <xf numFmtId="170" fontId="14" fillId="9" borderId="40" xfId="1" applyNumberFormat="1" applyFont="1" applyFill="1" applyBorder="1"/>
    <xf numFmtId="170" fontId="14" fillId="9" borderId="68" xfId="1" applyNumberFormat="1" applyFont="1" applyFill="1" applyBorder="1"/>
    <xf numFmtId="170" fontId="14" fillId="9" borderId="33" xfId="1" applyNumberFormat="1" applyFont="1" applyFill="1" applyBorder="1"/>
    <xf numFmtId="0" fontId="17" fillId="0" borderId="0" xfId="9" applyFont="1" applyAlignment="1">
      <alignment vertical="center" wrapText="1"/>
    </xf>
    <xf numFmtId="0" fontId="5" fillId="0" borderId="0" xfId="9" applyAlignment="1">
      <alignment horizontal="center" vertical="center"/>
    </xf>
    <xf numFmtId="170" fontId="11" fillId="0" borderId="0" xfId="1" applyNumberFormat="1" applyAlignment="1">
      <alignment horizontal="right"/>
    </xf>
    <xf numFmtId="167" fontId="13" fillId="7" borderId="10" xfId="9" applyNumberFormat="1" applyFont="1" applyFill="1" applyBorder="1" applyAlignment="1">
      <alignment vertical="center" wrapText="1"/>
    </xf>
    <xf numFmtId="0" fontId="14" fillId="7" borderId="10" xfId="9" applyFont="1" applyFill="1" applyBorder="1" applyAlignment="1">
      <alignment horizontal="center" vertical="center"/>
    </xf>
    <xf numFmtId="9" fontId="14" fillId="7" borderId="10" xfId="2" applyFont="1" applyFill="1" applyBorder="1" applyAlignment="1">
      <alignment horizontal="center" vertical="center"/>
    </xf>
    <xf numFmtId="170" fontId="13" fillId="7" borderId="10" xfId="9" applyNumberFormat="1" applyFont="1" applyFill="1" applyBorder="1" applyAlignment="1">
      <alignment vertical="center" wrapText="1"/>
    </xf>
    <xf numFmtId="167" fontId="5" fillId="0" borderId="0" xfId="9" applyNumberFormat="1"/>
    <xf numFmtId="0" fontId="14" fillId="3" borderId="4" xfId="9" applyFont="1" applyFill="1" applyBorder="1"/>
    <xf numFmtId="0" fontId="14" fillId="3" borderId="64" xfId="9" applyFont="1" applyFill="1" applyBorder="1"/>
    <xf numFmtId="167" fontId="14" fillId="3" borderId="6" xfId="9" applyNumberFormat="1" applyFont="1" applyFill="1" applyBorder="1"/>
    <xf numFmtId="9" fontId="14" fillId="3" borderId="4" xfId="2" applyFont="1" applyFill="1" applyBorder="1"/>
    <xf numFmtId="167" fontId="0" fillId="3" borderId="9" xfId="9" applyNumberFormat="1" applyFont="1" applyFill="1" applyBorder="1"/>
    <xf numFmtId="167" fontId="0" fillId="3" borderId="55" xfId="9" applyNumberFormat="1" applyFont="1" applyFill="1" applyBorder="1"/>
    <xf numFmtId="167" fontId="5" fillId="3" borderId="23" xfId="9" applyNumberFormat="1" applyFill="1" applyBorder="1"/>
    <xf numFmtId="9" fontId="0" fillId="3" borderId="9" xfId="2" applyFont="1" applyFill="1" applyBorder="1"/>
    <xf numFmtId="0" fontId="0" fillId="3" borderId="25" xfId="9" applyFont="1" applyFill="1" applyBorder="1"/>
    <xf numFmtId="0" fontId="0" fillId="3" borderId="34" xfId="9" applyFont="1" applyFill="1" applyBorder="1"/>
    <xf numFmtId="9" fontId="0" fillId="3" borderId="25" xfId="2" applyFont="1" applyFill="1" applyBorder="1"/>
    <xf numFmtId="167" fontId="5" fillId="0" borderId="0" xfId="9" applyNumberFormat="1" applyAlignment="1">
      <alignment horizontal="center" vertical="center"/>
    </xf>
    <xf numFmtId="0" fontId="17" fillId="19" borderId="0" xfId="9" applyFont="1" applyFill="1" applyAlignment="1">
      <alignment vertical="center" wrapText="1"/>
    </xf>
    <xf numFmtId="167" fontId="5" fillId="19" borderId="0" xfId="9" applyNumberFormat="1" applyFill="1" applyAlignment="1">
      <alignment horizontal="center" vertical="center"/>
    </xf>
    <xf numFmtId="167" fontId="17" fillId="25" borderId="0" xfId="9" applyNumberFormat="1" applyFont="1" applyFill="1" applyAlignment="1">
      <alignment vertical="center" wrapText="1"/>
    </xf>
    <xf numFmtId="0" fontId="0" fillId="25" borderId="0" xfId="9" applyFont="1" applyFill="1" applyAlignment="1">
      <alignment horizontal="center" vertical="center"/>
    </xf>
    <xf numFmtId="0" fontId="17" fillId="3" borderId="58"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54" xfId="0" applyFont="1" applyFill="1" applyBorder="1" applyAlignment="1">
      <alignment horizontal="center" vertical="center" wrapText="1"/>
    </xf>
    <xf numFmtId="0" fontId="17" fillId="3" borderId="57" xfId="0" applyFont="1" applyFill="1" applyBorder="1" applyAlignment="1">
      <alignment horizontal="center" vertical="center" wrapText="1"/>
    </xf>
    <xf numFmtId="0" fontId="17" fillId="3" borderId="20" xfId="0" applyFont="1" applyFill="1" applyBorder="1" applyAlignment="1">
      <alignment horizontal="center" vertical="center" wrapText="1"/>
    </xf>
    <xf numFmtId="170" fontId="17" fillId="3" borderId="66" xfId="1" applyNumberFormat="1" applyFont="1" applyFill="1" applyBorder="1" applyAlignment="1">
      <alignment horizontal="center" vertical="center" wrapText="1"/>
    </xf>
    <xf numFmtId="170" fontId="17" fillId="3" borderId="20" xfId="1" applyNumberFormat="1" applyFont="1" applyFill="1" applyBorder="1" applyAlignment="1">
      <alignment horizontal="center" vertical="center" wrapText="1"/>
    </xf>
    <xf numFmtId="170" fontId="17" fillId="3" borderId="24" xfId="1" applyNumberFormat="1" applyFont="1" applyFill="1" applyBorder="1" applyAlignment="1">
      <alignment horizontal="center" vertical="center" wrapText="1"/>
    </xf>
    <xf numFmtId="170" fontId="17" fillId="3" borderId="58" xfId="1" applyNumberFormat="1" applyFont="1" applyFill="1" applyBorder="1" applyAlignment="1">
      <alignment horizontal="center" vertical="center" wrapText="1"/>
    </xf>
    <xf numFmtId="170" fontId="17" fillId="3" borderId="0" xfId="1" applyNumberFormat="1" applyFont="1" applyFill="1" applyBorder="1" applyAlignment="1">
      <alignment horizontal="center" vertical="center" wrapText="1"/>
    </xf>
    <xf numFmtId="170" fontId="17" fillId="3" borderId="54" xfId="1" applyNumberFormat="1" applyFont="1" applyFill="1" applyBorder="1" applyAlignment="1">
      <alignment horizontal="center" vertical="center" wrapText="1"/>
    </xf>
    <xf numFmtId="170" fontId="17" fillId="3" borderId="57" xfId="1" applyNumberFormat="1" applyFont="1" applyFill="1" applyBorder="1" applyAlignment="1">
      <alignment horizontal="center" vertical="center" wrapText="1"/>
    </xf>
    <xf numFmtId="170" fontId="17" fillId="3" borderId="73" xfId="1" applyNumberFormat="1" applyFont="1" applyFill="1" applyBorder="1" applyAlignment="1">
      <alignment horizontal="center" vertical="center" wrapText="1"/>
    </xf>
    <xf numFmtId="170" fontId="17" fillId="3" borderId="1" xfId="1" applyNumberFormat="1" applyFont="1" applyFill="1" applyBorder="1" applyAlignment="1">
      <alignment horizontal="center" vertical="center" wrapText="1"/>
    </xf>
    <xf numFmtId="170" fontId="17" fillId="3" borderId="2" xfId="1" applyNumberFormat="1" applyFont="1" applyFill="1" applyBorder="1" applyAlignment="1">
      <alignment horizontal="center" vertical="center" wrapText="1"/>
    </xf>
    <xf numFmtId="0" fontId="50" fillId="3" borderId="57" xfId="0" applyFont="1" applyFill="1" applyBorder="1" applyAlignment="1">
      <alignment vertical="center"/>
    </xf>
    <xf numFmtId="0" fontId="50" fillId="3" borderId="53" xfId="0" applyFont="1" applyFill="1" applyBorder="1" applyAlignment="1">
      <alignment vertical="center"/>
    </xf>
    <xf numFmtId="0" fontId="50" fillId="3" borderId="53" xfId="0" applyFont="1" applyFill="1" applyBorder="1" applyAlignment="1">
      <alignment horizontal="right" vertical="center"/>
    </xf>
    <xf numFmtId="0" fontId="50" fillId="3" borderId="53" xfId="0" applyFont="1" applyFill="1" applyBorder="1" applyAlignment="1">
      <alignment horizontal="right" vertical="center" wrapText="1"/>
    </xf>
    <xf numFmtId="0" fontId="13" fillId="3" borderId="53" xfId="0" applyFont="1" applyFill="1" applyBorder="1" applyAlignment="1">
      <alignment horizontal="right" vertical="center" wrapText="1"/>
    </xf>
    <xf numFmtId="170" fontId="50" fillId="3" borderId="66" xfId="1" applyNumberFormat="1" applyFont="1" applyFill="1" applyBorder="1" applyAlignment="1">
      <alignment horizontal="center" vertical="center" wrapText="1"/>
    </xf>
    <xf numFmtId="170" fontId="50" fillId="3" borderId="20" xfId="1" applyNumberFormat="1" applyFont="1" applyFill="1" applyBorder="1" applyAlignment="1">
      <alignment horizontal="center" vertical="center" wrapText="1"/>
    </xf>
    <xf numFmtId="0" fontId="0" fillId="6" borderId="8" xfId="0" applyFill="1" applyBorder="1" applyAlignment="1">
      <alignment horizontal="center" vertical="center" wrapText="1"/>
    </xf>
    <xf numFmtId="0" fontId="6" fillId="6" borderId="8" xfId="0" applyFont="1" applyFill="1" applyBorder="1" applyAlignment="1">
      <alignment horizontal="right"/>
    </xf>
    <xf numFmtId="0" fontId="6" fillId="6" borderId="8" xfId="0" applyFont="1" applyFill="1" applyBorder="1"/>
    <xf numFmtId="170" fontId="68" fillId="6" borderId="47" xfId="1" applyNumberFormat="1" applyFont="1" applyFill="1" applyBorder="1" applyAlignment="1">
      <alignment horizontal="center" vertical="center"/>
    </xf>
    <xf numFmtId="170" fontId="15" fillId="4" borderId="39" xfId="1" applyNumberFormat="1" applyFont="1" applyFill="1" applyBorder="1" applyAlignment="1">
      <alignment horizontal="center" vertical="center" wrapText="1" readingOrder="2"/>
    </xf>
    <xf numFmtId="170" fontId="0" fillId="3" borderId="55" xfId="1" applyNumberFormat="1" applyFont="1" applyFill="1" applyBorder="1"/>
    <xf numFmtId="170" fontId="0" fillId="2" borderId="51" xfId="1" applyNumberFormat="1" applyFont="1" applyFill="1" applyBorder="1" applyAlignment="1">
      <alignment vertical="center"/>
    </xf>
    <xf numFmtId="170" fontId="0" fillId="2" borderId="43" xfId="1" applyNumberFormat="1" applyFont="1" applyFill="1" applyBorder="1" applyAlignment="1">
      <alignment vertical="center"/>
    </xf>
    <xf numFmtId="170" fontId="0" fillId="2" borderId="55" xfId="1" applyNumberFormat="1" applyFont="1" applyFill="1" applyBorder="1" applyAlignment="1">
      <alignment vertical="center"/>
    </xf>
    <xf numFmtId="170" fontId="14" fillId="2" borderId="34" xfId="1" applyNumberFormat="1" applyFont="1" applyFill="1" applyBorder="1"/>
    <xf numFmtId="170" fontId="14" fillId="5" borderId="34" xfId="1" applyNumberFormat="1" applyFont="1" applyFill="1" applyBorder="1"/>
    <xf numFmtId="170" fontId="14" fillId="11" borderId="34" xfId="1" applyNumberFormat="1" applyFont="1" applyFill="1" applyBorder="1"/>
    <xf numFmtId="170" fontId="14" fillId="2" borderId="43" xfId="1" applyNumberFormat="1" applyFont="1" applyFill="1" applyBorder="1"/>
    <xf numFmtId="170" fontId="14" fillId="9" borderId="39" xfId="1" applyNumberFormat="1" applyFont="1" applyFill="1" applyBorder="1"/>
    <xf numFmtId="0" fontId="20" fillId="0" borderId="5" xfId="0" applyFont="1" applyBorder="1" applyAlignment="1">
      <alignment horizontal="center"/>
    </xf>
    <xf numFmtId="9" fontId="35" fillId="0" borderId="10" xfId="2" applyFont="1" applyBorder="1" applyAlignment="1">
      <alignment horizontal="center" wrapText="1"/>
    </xf>
    <xf numFmtId="0" fontId="62" fillId="0" borderId="8" xfId="0" applyFont="1" applyBorder="1"/>
    <xf numFmtId="0" fontId="62" fillId="0" borderId="12" xfId="0" applyFont="1" applyBorder="1"/>
    <xf numFmtId="166" fontId="15" fillId="4" borderId="1" xfId="1" applyNumberFormat="1" applyFont="1" applyFill="1" applyBorder="1" applyAlignment="1">
      <alignment horizontal="center" vertical="center" wrapText="1" readingOrder="2"/>
    </xf>
    <xf numFmtId="166" fontId="0" fillId="3" borderId="21" xfId="1" applyNumberFormat="1" applyFont="1" applyFill="1" applyBorder="1"/>
    <xf numFmtId="166" fontId="16" fillId="3" borderId="5" xfId="1" applyNumberFormat="1" applyFont="1" applyFill="1" applyBorder="1" applyAlignment="1"/>
    <xf numFmtId="166" fontId="16" fillId="3" borderId="63" xfId="1" applyNumberFormat="1" applyFont="1" applyFill="1" applyBorder="1" applyAlignment="1"/>
    <xf numFmtId="166" fontId="16" fillId="3" borderId="21" xfId="1" applyNumberFormat="1" applyFont="1" applyFill="1" applyBorder="1" applyAlignment="1"/>
    <xf numFmtId="166" fontId="16" fillId="3" borderId="70" xfId="1" applyNumberFormat="1" applyFont="1" applyFill="1" applyBorder="1" applyAlignment="1"/>
    <xf numFmtId="166" fontId="16" fillId="3" borderId="62" xfId="1" applyNumberFormat="1" applyFont="1" applyFill="1" applyBorder="1" applyAlignment="1"/>
    <xf numFmtId="166" fontId="7" fillId="3" borderId="10" xfId="1" applyNumberFormat="1" applyFont="1" applyFill="1" applyBorder="1" applyAlignment="1"/>
    <xf numFmtId="166" fontId="7" fillId="3" borderId="62" xfId="1" applyNumberFormat="1" applyFont="1" applyFill="1" applyBorder="1" applyAlignment="1"/>
    <xf numFmtId="166" fontId="0" fillId="3" borderId="8" xfId="1" applyNumberFormat="1" applyFont="1" applyFill="1" applyBorder="1"/>
    <xf numFmtId="166" fontId="16" fillId="3" borderId="8" xfId="1" applyNumberFormat="1" applyFont="1" applyFill="1" applyBorder="1" applyAlignment="1"/>
    <xf numFmtId="166" fontId="14" fillId="3" borderId="22" xfId="1" applyNumberFormat="1" applyFont="1" applyFill="1" applyBorder="1"/>
    <xf numFmtId="166" fontId="0" fillId="2" borderId="5" xfId="1" applyNumberFormat="1" applyFont="1" applyFill="1" applyBorder="1" applyAlignment="1">
      <alignment vertical="center"/>
    </xf>
    <xf numFmtId="166" fontId="0" fillId="2" borderId="5" xfId="1" applyNumberFormat="1" applyFont="1" applyFill="1" applyBorder="1"/>
    <xf numFmtId="166" fontId="0" fillId="2" borderId="63" xfId="1" applyNumberFormat="1" applyFont="1" applyFill="1" applyBorder="1"/>
    <xf numFmtId="166" fontId="0" fillId="2" borderId="21" xfId="1" applyNumberFormat="1" applyFont="1" applyFill="1" applyBorder="1" applyAlignment="1">
      <alignment vertical="center"/>
    </xf>
    <xf numFmtId="166" fontId="0" fillId="2" borderId="70" xfId="1" applyNumberFormat="1" applyFont="1" applyFill="1" applyBorder="1"/>
    <xf numFmtId="166" fontId="0" fillId="2" borderId="10" xfId="1" applyNumberFormat="1" applyFont="1" applyFill="1" applyBorder="1" applyAlignment="1">
      <alignment vertical="center"/>
    </xf>
    <xf numFmtId="166" fontId="0" fillId="2" borderId="62" xfId="1" applyNumberFormat="1" applyFont="1" applyFill="1" applyBorder="1"/>
    <xf numFmtId="166" fontId="16" fillId="2" borderId="10" xfId="1" applyNumberFormat="1" applyFont="1" applyFill="1" applyBorder="1"/>
    <xf numFmtId="166" fontId="0" fillId="2" borderId="62" xfId="1" applyNumberFormat="1" applyFont="1" applyFill="1" applyBorder="1" applyAlignment="1">
      <alignment vertical="center"/>
    </xf>
    <xf numFmtId="166" fontId="0" fillId="5" borderId="63" xfId="1" applyNumberFormat="1" applyFont="1" applyFill="1" applyBorder="1"/>
    <xf numFmtId="166" fontId="0" fillId="5" borderId="62" xfId="1" applyNumberFormat="1" applyFont="1" applyFill="1" applyBorder="1"/>
    <xf numFmtId="166" fontId="0" fillId="11" borderId="5" xfId="1" applyNumberFormat="1" applyFont="1" applyFill="1" applyBorder="1"/>
    <xf numFmtId="166" fontId="0" fillId="11" borderId="63" xfId="1" applyNumberFormat="1" applyFont="1" applyFill="1" applyBorder="1"/>
    <xf numFmtId="166" fontId="0" fillId="11" borderId="6" xfId="1" applyNumberFormat="1" applyFont="1" applyFill="1" applyBorder="1"/>
    <xf numFmtId="166" fontId="0" fillId="11" borderId="10" xfId="1" applyNumberFormat="1" applyFont="1" applyFill="1" applyBorder="1"/>
    <xf numFmtId="166" fontId="0" fillId="11" borderId="62" xfId="1" applyNumberFormat="1" applyFont="1" applyFill="1" applyBorder="1"/>
    <xf numFmtId="166" fontId="0" fillId="11" borderId="11" xfId="1" applyNumberFormat="1" applyFont="1" applyFill="1" applyBorder="1"/>
    <xf numFmtId="166" fontId="14" fillId="11" borderId="22" xfId="1" applyNumberFormat="1" applyFont="1" applyFill="1" applyBorder="1"/>
    <xf numFmtId="166" fontId="14" fillId="2" borderId="8" xfId="1" applyNumberFormat="1" applyFont="1" applyFill="1" applyBorder="1"/>
    <xf numFmtId="166" fontId="14" fillId="2" borderId="12" xfId="1" applyNumberFormat="1" applyFont="1" applyFill="1" applyBorder="1"/>
    <xf numFmtId="166" fontId="6" fillId="6" borderId="5" xfId="1" applyNumberFormat="1" applyFont="1" applyFill="1" applyBorder="1"/>
    <xf numFmtId="166" fontId="14" fillId="6" borderId="5" xfId="1" applyNumberFormat="1" applyFont="1" applyFill="1" applyBorder="1"/>
    <xf numFmtId="166" fontId="6" fillId="6" borderId="10" xfId="1" applyNumberFormat="1" applyFont="1" applyFill="1" applyBorder="1"/>
    <xf numFmtId="166" fontId="14" fillId="6" borderId="10" xfId="1" applyNumberFormat="1" applyFont="1" applyFill="1" applyBorder="1"/>
    <xf numFmtId="166" fontId="6" fillId="6" borderId="8" xfId="1" applyNumberFormat="1" applyFont="1" applyFill="1" applyBorder="1"/>
    <xf numFmtId="166" fontId="14" fillId="6" borderId="8" xfId="1" applyNumberFormat="1" applyFont="1" applyFill="1" applyBorder="1"/>
    <xf numFmtId="166" fontId="14" fillId="2" borderId="36" xfId="1" applyNumberFormat="1" applyFont="1" applyFill="1" applyBorder="1"/>
    <xf numFmtId="166" fontId="14" fillId="2" borderId="68" xfId="1" applyNumberFormat="1" applyFont="1" applyFill="1" applyBorder="1"/>
    <xf numFmtId="166" fontId="7" fillId="2" borderId="5" xfId="1" applyNumberFormat="1" applyFont="1" applyFill="1" applyBorder="1"/>
    <xf numFmtId="166" fontId="14" fillId="2" borderId="5" xfId="1" applyNumberFormat="1" applyFont="1" applyFill="1" applyBorder="1"/>
    <xf numFmtId="166" fontId="14" fillId="2" borderId="6" xfId="1" applyNumberFormat="1" applyFont="1" applyFill="1" applyBorder="1"/>
    <xf numFmtId="166" fontId="14" fillId="6" borderId="23" xfId="1" applyNumberFormat="1" applyFont="1" applyFill="1" applyBorder="1"/>
    <xf numFmtId="166" fontId="14" fillId="3" borderId="16" xfId="1" applyNumberFormat="1" applyFont="1" applyFill="1" applyBorder="1"/>
    <xf numFmtId="166" fontId="14" fillId="3" borderId="19" xfId="1" applyNumberFormat="1" applyFont="1" applyFill="1" applyBorder="1"/>
    <xf numFmtId="166" fontId="14" fillId="9" borderId="36" xfId="1" applyNumberFormat="1" applyFont="1" applyFill="1" applyBorder="1"/>
    <xf numFmtId="165" fontId="0" fillId="0" borderId="0" xfId="1" applyNumberFormat="1" applyFont="1"/>
    <xf numFmtId="170" fontId="14" fillId="3" borderId="23" xfId="0" applyNumberFormat="1" applyFont="1" applyFill="1" applyBorder="1" applyAlignment="1">
      <alignment wrapText="1"/>
    </xf>
    <xf numFmtId="43" fontId="27" fillId="0" borderId="11" xfId="1" applyFont="1" applyFill="1" applyBorder="1" applyAlignment="1">
      <alignment horizontal="right" vertical="center" wrapText="1" readingOrder="2"/>
    </xf>
    <xf numFmtId="170" fontId="28" fillId="0" borderId="37" xfId="3" applyNumberFormat="1" applyFont="1" applyFill="1" applyBorder="1"/>
    <xf numFmtId="166" fontId="14" fillId="3" borderId="23" xfId="1" applyNumberFormat="1" applyFont="1" applyFill="1" applyBorder="1"/>
    <xf numFmtId="166" fontId="15" fillId="4" borderId="3" xfId="1" applyNumberFormat="1" applyFont="1" applyFill="1" applyBorder="1" applyAlignment="1">
      <alignment horizontal="center" vertical="center" wrapText="1" readingOrder="2"/>
    </xf>
    <xf numFmtId="167" fontId="14" fillId="3" borderId="31" xfId="1" applyNumberFormat="1" applyFont="1" applyFill="1" applyBorder="1"/>
    <xf numFmtId="167" fontId="14" fillId="2" borderId="46" xfId="1" applyNumberFormat="1" applyFont="1" applyFill="1" applyBorder="1"/>
    <xf numFmtId="166" fontId="16" fillId="3" borderId="12" xfId="1" applyNumberFormat="1" applyFont="1" applyFill="1" applyBorder="1" applyAlignment="1"/>
    <xf numFmtId="166" fontId="14" fillId="3" borderId="22" xfId="0" applyNumberFormat="1" applyFont="1" applyFill="1" applyBorder="1" applyAlignment="1">
      <alignment horizontal="center"/>
    </xf>
    <xf numFmtId="166" fontId="14" fillId="2" borderId="22" xfId="0" applyNumberFormat="1" applyFont="1" applyFill="1" applyBorder="1" applyAlignment="1">
      <alignment horizontal="center"/>
    </xf>
    <xf numFmtId="165" fontId="14" fillId="5" borderId="22" xfId="0" applyNumberFormat="1" applyFont="1" applyFill="1" applyBorder="1" applyAlignment="1">
      <alignment horizontal="center"/>
    </xf>
    <xf numFmtId="43" fontId="35" fillId="0" borderId="10" xfId="1" applyFont="1" applyBorder="1" applyAlignment="1">
      <alignment horizontal="center" vertical="center" wrapText="1"/>
    </xf>
    <xf numFmtId="166" fontId="0" fillId="6" borderId="22" xfId="0" applyNumberFormat="1" applyFill="1" applyBorder="1"/>
    <xf numFmtId="0" fontId="29" fillId="0" borderId="13" xfId="3" applyFont="1" applyFill="1" applyBorder="1" applyAlignment="1">
      <alignment horizontal="right" vertical="center"/>
    </xf>
    <xf numFmtId="0" fontId="29" fillId="0" borderId="21" xfId="3" applyFont="1" applyFill="1" applyBorder="1" applyAlignment="1">
      <alignment horizontal="right" vertical="center"/>
    </xf>
    <xf numFmtId="0" fontId="0" fillId="3" borderId="10" xfId="0" applyFill="1" applyBorder="1" applyAlignment="1">
      <alignment horizontal="center" vertical="center" wrapText="1"/>
    </xf>
    <xf numFmtId="0" fontId="0" fillId="3" borderId="10" xfId="0" applyFill="1" applyBorder="1" applyAlignment="1">
      <alignment horizontal="center" vertical="center"/>
    </xf>
    <xf numFmtId="0" fontId="0" fillId="5" borderId="10" xfId="0" applyFill="1" applyBorder="1" applyAlignment="1">
      <alignment horizontal="center" vertical="center"/>
    </xf>
    <xf numFmtId="0" fontId="0" fillId="5" borderId="10" xfId="0" applyFill="1" applyBorder="1" applyAlignment="1">
      <alignment horizontal="center" vertical="center" wrapText="1"/>
    </xf>
    <xf numFmtId="0" fontId="0" fillId="11" borderId="10" xfId="0" applyFill="1" applyBorder="1" applyAlignment="1">
      <alignment horizontal="center" vertical="center" wrapText="1"/>
    </xf>
    <xf numFmtId="0" fontId="16" fillId="2" borderId="5" xfId="0" applyFont="1" applyFill="1" applyBorder="1" applyAlignment="1">
      <alignment horizontal="center" vertical="center"/>
    </xf>
    <xf numFmtId="0" fontId="16" fillId="2" borderId="21" xfId="0" applyFont="1" applyFill="1" applyBorder="1" applyAlignment="1">
      <alignment horizontal="center" vertical="center"/>
    </xf>
    <xf numFmtId="0" fontId="16" fillId="2" borderId="10" xfId="0" applyFont="1" applyFill="1" applyBorder="1" applyAlignment="1">
      <alignment horizontal="center" vertical="center"/>
    </xf>
    <xf numFmtId="0" fontId="0" fillId="2" borderId="10" xfId="0" applyFill="1" applyBorder="1" applyAlignment="1">
      <alignment horizontal="center" vertical="center" wrapText="1"/>
    </xf>
    <xf numFmtId="0" fontId="0" fillId="2" borderId="10" xfId="0" applyFill="1" applyBorder="1" applyAlignment="1">
      <alignment horizontal="center" vertical="center"/>
    </xf>
    <xf numFmtId="0" fontId="0" fillId="3" borderId="21" xfId="0" applyFill="1" applyBorder="1" applyAlignment="1">
      <alignment horizontal="center" vertical="center" wrapText="1"/>
    </xf>
    <xf numFmtId="0" fontId="0" fillId="11" borderId="10" xfId="0" applyFill="1" applyBorder="1" applyAlignment="1">
      <alignment horizontal="center" vertical="center" textRotation="255"/>
    </xf>
    <xf numFmtId="0" fontId="20" fillId="0" borderId="5" xfId="0" applyFont="1" applyBorder="1" applyAlignment="1">
      <alignment horizontal="center"/>
    </xf>
    <xf numFmtId="0" fontId="20" fillId="0" borderId="5" xfId="0" applyFont="1" applyBorder="1" applyAlignment="1">
      <alignment horizontal="center" wrapText="1"/>
    </xf>
    <xf numFmtId="0" fontId="20" fillId="0" borderId="6" xfId="0" applyFont="1" applyBorder="1" applyAlignment="1">
      <alignment horizontal="center" wrapText="1"/>
    </xf>
    <xf numFmtId="0" fontId="20" fillId="0" borderId="63" xfId="0" applyFont="1" applyBorder="1" applyAlignment="1">
      <alignment horizontal="center" wrapText="1"/>
    </xf>
    <xf numFmtId="0" fontId="20" fillId="0" borderId="41" xfId="0" applyFont="1" applyBorder="1" applyAlignment="1">
      <alignment horizontal="center" wrapText="1"/>
    </xf>
    <xf numFmtId="167" fontId="14" fillId="2" borderId="0" xfId="1" applyNumberFormat="1" applyFont="1" applyFill="1" applyBorder="1"/>
    <xf numFmtId="166" fontId="14" fillId="10" borderId="6" xfId="1" applyNumberFormat="1" applyFont="1" applyFill="1" applyBorder="1"/>
    <xf numFmtId="166" fontId="14" fillId="10" borderId="11" xfId="1" applyNumberFormat="1" applyFont="1" applyFill="1" applyBorder="1"/>
    <xf numFmtId="0" fontId="17" fillId="3" borderId="18" xfId="0" applyFont="1" applyFill="1" applyBorder="1" applyAlignment="1">
      <alignment horizontal="center" vertical="center" wrapText="1"/>
    </xf>
    <xf numFmtId="0" fontId="14" fillId="3" borderId="1" xfId="0" applyFont="1" applyFill="1" applyBorder="1" applyAlignment="1">
      <alignment horizontal="center"/>
    </xf>
    <xf numFmtId="0" fontId="14" fillId="3" borderId="1" xfId="0" applyFont="1" applyFill="1" applyBorder="1" applyAlignment="1">
      <alignment horizontal="center" vertical="center" wrapText="1"/>
    </xf>
    <xf numFmtId="0" fontId="0" fillId="3" borderId="1" xfId="0" applyFill="1" applyBorder="1"/>
    <xf numFmtId="167" fontId="14" fillId="3" borderId="1" xfId="1" applyNumberFormat="1" applyFont="1" applyFill="1" applyBorder="1"/>
    <xf numFmtId="166" fontId="14" fillId="3" borderId="3" xfId="1" applyNumberFormat="1" applyFont="1" applyFill="1" applyBorder="1"/>
    <xf numFmtId="0" fontId="14" fillId="10" borderId="5" xfId="0" applyFont="1" applyFill="1" applyBorder="1" applyAlignment="1">
      <alignment horizontal="center"/>
    </xf>
    <xf numFmtId="0" fontId="14" fillId="10" borderId="5" xfId="0" applyFont="1" applyFill="1" applyBorder="1" applyAlignment="1">
      <alignment horizontal="center" vertical="center" wrapText="1"/>
    </xf>
    <xf numFmtId="0" fontId="4" fillId="10" borderId="5" xfId="0" applyFont="1" applyFill="1" applyBorder="1" applyAlignment="1">
      <alignment horizontal="right" vertical="center" wrapText="1"/>
    </xf>
    <xf numFmtId="0" fontId="0" fillId="10" borderId="5" xfId="0" applyFill="1" applyBorder="1"/>
    <xf numFmtId="167" fontId="4" fillId="10" borderId="5" xfId="1" applyNumberFormat="1" applyFont="1" applyFill="1" applyBorder="1"/>
    <xf numFmtId="167" fontId="14" fillId="10" borderId="5" xfId="1" applyNumberFormat="1" applyFont="1" applyFill="1" applyBorder="1"/>
    <xf numFmtId="0" fontId="14" fillId="10" borderId="10" xfId="0" applyFont="1" applyFill="1" applyBorder="1" applyAlignment="1">
      <alignment horizontal="center"/>
    </xf>
    <xf numFmtId="0" fontId="14" fillId="10" borderId="10" xfId="0" applyFont="1" applyFill="1" applyBorder="1" applyAlignment="1">
      <alignment horizontal="center" vertical="center" wrapText="1"/>
    </xf>
    <xf numFmtId="0" fontId="4" fillId="10" borderId="10" xfId="0" applyFont="1" applyFill="1" applyBorder="1" applyAlignment="1">
      <alignment horizontal="right" vertical="center" wrapText="1"/>
    </xf>
    <xf numFmtId="0" fontId="0" fillId="10" borderId="10" xfId="0" applyFill="1" applyBorder="1"/>
    <xf numFmtId="167" fontId="4" fillId="10" borderId="10" xfId="1" applyNumberFormat="1" applyFont="1" applyFill="1" applyBorder="1"/>
    <xf numFmtId="167" fontId="14" fillId="10" borderId="10" xfId="1" applyNumberFormat="1" applyFont="1" applyFill="1" applyBorder="1"/>
    <xf numFmtId="0" fontId="14" fillId="10" borderId="22" xfId="0" applyFont="1" applyFill="1" applyBorder="1" applyAlignment="1">
      <alignment horizontal="center"/>
    </xf>
    <xf numFmtId="0" fontId="14" fillId="10" borderId="22" xfId="0" applyFont="1" applyFill="1" applyBorder="1" applyAlignment="1">
      <alignment horizontal="center" vertical="center" wrapText="1"/>
    </xf>
    <xf numFmtId="0" fontId="0" fillId="10" borderId="22" xfId="0" applyFill="1" applyBorder="1"/>
    <xf numFmtId="167" fontId="14" fillId="10" borderId="22" xfId="1" applyNumberFormat="1" applyFont="1" applyFill="1" applyBorder="1"/>
    <xf numFmtId="0" fontId="15" fillId="4" borderId="16" xfId="0" applyFont="1" applyFill="1" applyBorder="1" applyAlignment="1">
      <alignment horizontal="right" vertical="center" wrapText="1" readingOrder="2"/>
    </xf>
    <xf numFmtId="0" fontId="0" fillId="3" borderId="10" xfId="0" applyFill="1" applyBorder="1" applyAlignment="1">
      <alignment horizontal="right" vertical="center"/>
    </xf>
    <xf numFmtId="0" fontId="14" fillId="3" borderId="34" xfId="0" applyFont="1" applyFill="1" applyBorder="1" applyAlignment="1">
      <alignment horizontal="right"/>
    </xf>
    <xf numFmtId="0" fontId="0" fillId="2" borderId="10" xfId="0" applyFill="1" applyBorder="1" applyAlignment="1">
      <alignment horizontal="right" vertical="center" wrapText="1"/>
    </xf>
    <xf numFmtId="0" fontId="0" fillId="2" borderId="10" xfId="0" applyFill="1" applyBorder="1" applyAlignment="1">
      <alignment horizontal="right" vertical="center"/>
    </xf>
    <xf numFmtId="0" fontId="16" fillId="5" borderId="5" xfId="0" applyFont="1" applyFill="1" applyBorder="1" applyAlignment="1">
      <alignment horizontal="right" vertical="center"/>
    </xf>
    <xf numFmtId="0" fontId="0" fillId="5" borderId="10" xfId="0" applyFill="1" applyBorder="1" applyAlignment="1">
      <alignment horizontal="right" vertical="center" wrapText="1"/>
    </xf>
    <xf numFmtId="0" fontId="0" fillId="5" borderId="10" xfId="0" applyFill="1" applyBorder="1" applyAlignment="1">
      <alignment horizontal="right" vertical="center"/>
    </xf>
    <xf numFmtId="0" fontId="0" fillId="11" borderId="5" xfId="0" applyFill="1" applyBorder="1" applyAlignment="1">
      <alignment horizontal="right" vertical="center" wrapText="1"/>
    </xf>
    <xf numFmtId="0" fontId="0" fillId="11" borderId="10" xfId="0" applyFill="1" applyBorder="1" applyAlignment="1">
      <alignment horizontal="right" vertical="center" wrapText="1"/>
    </xf>
    <xf numFmtId="0" fontId="0" fillId="2" borderId="5" xfId="0" applyFill="1" applyBorder="1" applyAlignment="1">
      <alignment horizontal="right" vertical="center" wrapText="1"/>
    </xf>
    <xf numFmtId="0" fontId="0" fillId="2" borderId="8" xfId="0" applyFill="1" applyBorder="1" applyAlignment="1">
      <alignment horizontal="right" vertical="center" wrapText="1"/>
    </xf>
    <xf numFmtId="0" fontId="14" fillId="3" borderId="1" xfId="0" applyFont="1" applyFill="1" applyBorder="1" applyAlignment="1">
      <alignment horizontal="right" vertical="center" wrapText="1"/>
    </xf>
    <xf numFmtId="0" fontId="14" fillId="10" borderId="10" xfId="0" applyFont="1" applyFill="1" applyBorder="1" applyAlignment="1">
      <alignment horizontal="right" vertical="center" wrapText="1"/>
    </xf>
    <xf numFmtId="0" fontId="14" fillId="10" borderId="22" xfId="0" applyFont="1" applyFill="1" applyBorder="1" applyAlignment="1">
      <alignment horizontal="right" vertical="center" wrapText="1"/>
    </xf>
    <xf numFmtId="0" fontId="14" fillId="2" borderId="36" xfId="0" applyFont="1" applyFill="1" applyBorder="1" applyAlignment="1">
      <alignment horizontal="right" vertical="center" wrapText="1"/>
    </xf>
    <xf numFmtId="0" fontId="14" fillId="9" borderId="36" xfId="0" applyFont="1" applyFill="1" applyBorder="1" applyAlignment="1">
      <alignment horizontal="right"/>
    </xf>
    <xf numFmtId="0" fontId="0" fillId="0" borderId="0" xfId="0" applyAlignment="1">
      <alignment horizontal="right" vertical="center"/>
    </xf>
    <xf numFmtId="0" fontId="0" fillId="2" borderId="16" xfId="0" applyFill="1" applyBorder="1" applyAlignment="1">
      <alignment horizontal="right" vertical="center" wrapText="1"/>
    </xf>
    <xf numFmtId="170" fontId="27" fillId="0" borderId="0" xfId="0" applyNumberFormat="1" applyFont="1" applyFill="1" applyBorder="1" applyAlignment="1">
      <alignment horizontal="right" vertical="center" wrapText="1" readingOrder="2"/>
    </xf>
    <xf numFmtId="170" fontId="28" fillId="0" borderId="9" xfId="0" applyNumberFormat="1" applyFont="1" applyFill="1" applyBorder="1" applyAlignment="1">
      <alignment wrapText="1"/>
    </xf>
    <xf numFmtId="170" fontId="28" fillId="0" borderId="10" xfId="0" applyNumberFormat="1" applyFont="1" applyFill="1" applyBorder="1" applyAlignment="1">
      <alignment wrapText="1"/>
    </xf>
    <xf numFmtId="170" fontId="28" fillId="0" borderId="11" xfId="0" applyNumberFormat="1" applyFont="1" applyFill="1" applyBorder="1" applyAlignment="1">
      <alignment wrapText="1"/>
    </xf>
    <xf numFmtId="0" fontId="15" fillId="4" borderId="1" xfId="0" applyFont="1" applyFill="1" applyBorder="1" applyAlignment="1">
      <alignment horizontal="center" vertical="center" wrapText="1" readingOrder="2"/>
    </xf>
    <xf numFmtId="166" fontId="0" fillId="2" borderId="22" xfId="0" applyNumberFormat="1" applyFill="1" applyBorder="1"/>
    <xf numFmtId="176" fontId="27" fillId="0" borderId="11" xfId="0" applyNumberFormat="1" applyFont="1" applyFill="1" applyBorder="1" applyAlignment="1">
      <alignment horizontal="right" vertical="center" wrapText="1" readingOrder="2"/>
    </xf>
    <xf numFmtId="43" fontId="55" fillId="0" borderId="10" xfId="1" applyFont="1" applyFill="1" applyBorder="1" applyAlignment="1"/>
    <xf numFmtId="43" fontId="34" fillId="0" borderId="10" xfId="1" applyFont="1" applyFill="1" applyBorder="1" applyAlignment="1"/>
    <xf numFmtId="43" fontId="51" fillId="0" borderId="10" xfId="1" applyFont="1" applyFill="1" applyBorder="1" applyAlignment="1">
      <alignment horizontal="right"/>
    </xf>
    <xf numFmtId="43" fontId="51" fillId="0" borderId="10" xfId="1" applyFont="1" applyFill="1" applyBorder="1" applyAlignment="1">
      <alignment horizontal="right" vertical="center"/>
    </xf>
    <xf numFmtId="43" fontId="51" fillId="0" borderId="10" xfId="1" applyFont="1" applyFill="1" applyBorder="1" applyAlignment="1"/>
    <xf numFmtId="43" fontId="34" fillId="0" borderId="8" xfId="1" applyFont="1" applyFill="1" applyBorder="1" applyAlignment="1"/>
    <xf numFmtId="43" fontId="34" fillId="0" borderId="10" xfId="1" applyFont="1" applyBorder="1" applyAlignment="1"/>
    <xf numFmtId="43" fontId="55" fillId="0" borderId="10" xfId="1" applyFont="1" applyFill="1" applyBorder="1" applyAlignment="1">
      <alignment vertical="center"/>
    </xf>
    <xf numFmtId="0" fontId="17" fillId="26" borderId="15" xfId="0" applyFont="1" applyFill="1" applyBorder="1" applyAlignment="1">
      <alignment horizontal="center" vertical="center" wrapText="1"/>
    </xf>
    <xf numFmtId="0" fontId="0" fillId="26" borderId="16" xfId="0" applyFill="1" applyBorder="1" applyAlignment="1">
      <alignment horizontal="center" vertical="center" wrapText="1"/>
    </xf>
    <xf numFmtId="0" fontId="14" fillId="26" borderId="16" xfId="0" applyFont="1" applyFill="1" applyBorder="1"/>
    <xf numFmtId="166" fontId="0" fillId="26" borderId="16" xfId="0" applyNumberFormat="1" applyFill="1" applyBorder="1"/>
    <xf numFmtId="166" fontId="14" fillId="26" borderId="16" xfId="1" applyNumberFormat="1" applyFont="1" applyFill="1" applyBorder="1"/>
    <xf numFmtId="166" fontId="14" fillId="26" borderId="19" xfId="1" applyNumberFormat="1" applyFont="1" applyFill="1" applyBorder="1"/>
    <xf numFmtId="166" fontId="14" fillId="26" borderId="17" xfId="1" applyNumberFormat="1" applyFont="1" applyFill="1" applyBorder="1"/>
    <xf numFmtId="0" fontId="0" fillId="2" borderId="22" xfId="0" applyFill="1" applyBorder="1" applyAlignment="1">
      <alignment horizontal="center" vertical="center" wrapText="1"/>
    </xf>
    <xf numFmtId="178" fontId="6" fillId="6" borderId="10" xfId="1" applyNumberFormat="1" applyFont="1" applyFill="1" applyBorder="1"/>
    <xf numFmtId="0" fontId="20" fillId="0" borderId="5" xfId="0" applyFont="1" applyBorder="1" applyAlignment="1">
      <alignment horizontal="center"/>
    </xf>
    <xf numFmtId="166" fontId="14" fillId="11" borderId="22" xfId="0" applyNumberFormat="1" applyFont="1" applyFill="1" applyBorder="1" applyAlignment="1">
      <alignment horizontal="center"/>
    </xf>
    <xf numFmtId="166" fontId="25" fillId="0" borderId="9" xfId="1" applyNumberFormat="1" applyFont="1" applyFill="1" applyBorder="1" applyAlignment="1">
      <alignment wrapText="1"/>
    </xf>
    <xf numFmtId="166" fontId="25" fillId="0" borderId="10" xfId="1" applyNumberFormat="1" applyFont="1" applyFill="1" applyBorder="1" applyAlignment="1">
      <alignment wrapText="1"/>
    </xf>
    <xf numFmtId="166" fontId="25" fillId="3" borderId="10" xfId="1" applyNumberFormat="1" applyFont="1" applyFill="1" applyBorder="1"/>
    <xf numFmtId="0" fontId="20" fillId="0" borderId="5" xfId="0" applyFont="1" applyBorder="1" applyAlignment="1">
      <alignment horizontal="center"/>
    </xf>
    <xf numFmtId="170" fontId="45" fillId="0" borderId="12" xfId="0" applyNumberFormat="1" applyFont="1" applyBorder="1"/>
    <xf numFmtId="170" fontId="20" fillId="3" borderId="11" xfId="3" applyNumberFormat="1" applyFont="1" applyFill="1" applyBorder="1" applyAlignment="1">
      <alignment wrapText="1"/>
    </xf>
    <xf numFmtId="170" fontId="62" fillId="0" borderId="10" xfId="5" applyNumberFormat="1" applyFont="1" applyFill="1" applyBorder="1" applyAlignment="1">
      <alignment horizontal="right"/>
    </xf>
    <xf numFmtId="170" fontId="62" fillId="0" borderId="10" xfId="5" applyNumberFormat="1" applyFont="1" applyFill="1" applyBorder="1"/>
    <xf numFmtId="43" fontId="62" fillId="0" borderId="10" xfId="0" applyNumberFormat="1" applyFont="1" applyBorder="1"/>
    <xf numFmtId="170" fontId="62" fillId="0" borderId="12" xfId="0" applyNumberFormat="1" applyFont="1" applyBorder="1"/>
    <xf numFmtId="0" fontId="17" fillId="11" borderId="15" xfId="0" applyFont="1" applyFill="1" applyBorder="1" applyAlignment="1">
      <alignment horizontal="center" vertical="center" wrapText="1"/>
    </xf>
    <xf numFmtId="0" fontId="0" fillId="11" borderId="16" xfId="0" applyFill="1" applyBorder="1" applyAlignment="1">
      <alignment horizontal="center" vertical="center" wrapText="1"/>
    </xf>
    <xf numFmtId="0" fontId="14" fillId="11" borderId="16" xfId="0" applyFont="1" applyFill="1" applyBorder="1"/>
    <xf numFmtId="166" fontId="0" fillId="11" borderId="16" xfId="0" applyNumberFormat="1" applyFill="1" applyBorder="1"/>
    <xf numFmtId="166" fontId="14" fillId="11" borderId="16" xfId="1" applyNumberFormat="1" applyFont="1" applyFill="1" applyBorder="1"/>
    <xf numFmtId="166" fontId="14" fillId="11" borderId="19" xfId="1" applyNumberFormat="1" applyFont="1" applyFill="1" applyBorder="1"/>
    <xf numFmtId="166" fontId="14" fillId="11" borderId="17" xfId="1" applyNumberFormat="1" applyFont="1" applyFill="1" applyBorder="1"/>
    <xf numFmtId="175" fontId="51" fillId="0" borderId="10" xfId="1" applyNumberFormat="1" applyFont="1" applyFill="1" applyBorder="1" applyAlignment="1"/>
    <xf numFmtId="0" fontId="0" fillId="3" borderId="10" xfId="0" applyFill="1" applyBorder="1" applyAlignment="1">
      <alignment horizontal="center" vertical="center"/>
    </xf>
    <xf numFmtId="0" fontId="0" fillId="2" borderId="10" xfId="0" applyFill="1" applyBorder="1" applyAlignment="1">
      <alignment horizontal="center" vertical="center" wrapText="1"/>
    </xf>
    <xf numFmtId="0" fontId="0" fillId="2" borderId="10" xfId="0" applyFill="1" applyBorder="1" applyAlignment="1">
      <alignment horizontal="center" vertical="center"/>
    </xf>
    <xf numFmtId="0" fontId="28" fillId="0" borderId="8" xfId="3" applyFont="1" applyFill="1" applyBorder="1" applyAlignment="1">
      <alignment horizontal="right" vertical="center" wrapText="1" readingOrder="1"/>
    </xf>
    <xf numFmtId="0" fontId="52" fillId="0" borderId="8" xfId="3" applyFont="1" applyFill="1" applyBorder="1"/>
    <xf numFmtId="0" fontId="14" fillId="0" borderId="20" xfId="0" applyFont="1" applyBorder="1"/>
    <xf numFmtId="0" fontId="62" fillId="3" borderId="8" xfId="0" applyFont="1" applyFill="1" applyBorder="1"/>
    <xf numFmtId="0" fontId="0" fillId="3" borderId="8" xfId="0" applyFill="1" applyBorder="1" applyAlignment="1">
      <alignment vertical="center"/>
    </xf>
    <xf numFmtId="0" fontId="0" fillId="3" borderId="55" xfId="0" applyFill="1" applyBorder="1" applyAlignment="1">
      <alignment vertical="center"/>
    </xf>
    <xf numFmtId="0" fontId="16" fillId="2" borderId="5" xfId="0" applyFont="1" applyFill="1" applyBorder="1" applyAlignment="1">
      <alignment vertical="center"/>
    </xf>
    <xf numFmtId="0" fontId="16" fillId="2" borderId="21" xfId="0" applyFont="1" applyFill="1" applyBorder="1" applyAlignment="1">
      <alignment vertical="center"/>
    </xf>
    <xf numFmtId="0" fontId="16" fillId="2" borderId="10" xfId="0" applyFont="1" applyFill="1" applyBorder="1" applyAlignment="1">
      <alignment vertical="center"/>
    </xf>
    <xf numFmtId="0" fontId="14" fillId="2" borderId="22" xfId="0" applyFont="1" applyFill="1" applyBorder="1" applyAlignment="1"/>
    <xf numFmtId="0" fontId="16" fillId="5" borderId="5" xfId="0" applyFont="1" applyFill="1" applyBorder="1" applyAlignment="1">
      <alignment vertical="center"/>
    </xf>
    <xf numFmtId="0" fontId="14" fillId="5" borderId="22" xfId="0" applyFont="1" applyFill="1" applyBorder="1" applyAlignment="1"/>
    <xf numFmtId="0" fontId="0" fillId="6" borderId="10" xfId="0" applyFill="1" applyBorder="1" applyAlignment="1">
      <alignment vertical="center"/>
    </xf>
    <xf numFmtId="0" fontId="0" fillId="6" borderId="22" xfId="0" applyFill="1" applyBorder="1" applyAlignment="1">
      <alignment vertical="center"/>
    </xf>
    <xf numFmtId="0" fontId="0" fillId="26" borderId="16" xfId="0" applyFill="1" applyBorder="1" applyAlignment="1">
      <alignment vertical="center"/>
    </xf>
    <xf numFmtId="0" fontId="0" fillId="11" borderId="16" xfId="0" applyFill="1" applyBorder="1" applyAlignment="1">
      <alignment vertical="center"/>
    </xf>
    <xf numFmtId="0" fontId="14" fillId="3" borderId="16" xfId="0" applyFont="1" applyFill="1" applyBorder="1" applyAlignment="1">
      <alignment vertical="center"/>
    </xf>
    <xf numFmtId="0" fontId="14" fillId="2" borderId="36" xfId="0" applyFont="1" applyFill="1" applyBorder="1" applyAlignment="1">
      <alignment vertical="center"/>
    </xf>
    <xf numFmtId="0" fontId="14" fillId="9" borderId="36" xfId="0" applyFont="1" applyFill="1" applyBorder="1" applyAlignment="1"/>
    <xf numFmtId="0" fontId="23" fillId="0" borderId="10" xfId="0" applyFont="1" applyFill="1" applyBorder="1" applyAlignment="1">
      <alignment horizontal="right" vertical="center" wrapText="1"/>
    </xf>
    <xf numFmtId="0" fontId="71" fillId="0" borderId="10" xfId="0" applyFont="1" applyFill="1" applyBorder="1"/>
    <xf numFmtId="43" fontId="71" fillId="0" borderId="10" xfId="1" applyFont="1" applyFill="1" applyBorder="1"/>
    <xf numFmtId="166" fontId="71" fillId="0" borderId="10" xfId="1" applyNumberFormat="1" applyFont="1" applyFill="1" applyBorder="1"/>
    <xf numFmtId="0" fontId="59" fillId="3" borderId="21" xfId="0" applyFont="1" applyFill="1" applyBorder="1" applyAlignment="1">
      <alignment wrapText="1"/>
    </xf>
    <xf numFmtId="0" fontId="46" fillId="0" borderId="0" xfId="0" applyFont="1" applyFill="1" applyBorder="1" applyAlignment="1">
      <alignment horizontal="right" vertical="center"/>
    </xf>
    <xf numFmtId="166" fontId="46" fillId="0" borderId="9" xfId="1" applyNumberFormat="1" applyFont="1" applyFill="1" applyBorder="1" applyAlignment="1">
      <alignment wrapText="1"/>
    </xf>
    <xf numFmtId="166" fontId="46" fillId="0" borderId="10" xfId="1" applyNumberFormat="1" applyFont="1" applyFill="1" applyBorder="1" applyAlignment="1">
      <alignment wrapText="1"/>
    </xf>
    <xf numFmtId="166" fontId="72" fillId="3" borderId="10" xfId="1" applyNumberFormat="1" applyFont="1" applyFill="1" applyBorder="1"/>
    <xf numFmtId="0" fontId="34" fillId="0" borderId="20" xfId="0" applyFont="1" applyFill="1" applyBorder="1" applyAlignment="1"/>
    <xf numFmtId="0" fontId="46" fillId="0" borderId="10" xfId="6" applyFont="1" applyFill="1" applyBorder="1" applyAlignment="1">
      <alignment vertical="center"/>
    </xf>
    <xf numFmtId="0" fontId="71" fillId="0" borderId="10" xfId="0" applyFont="1" applyFill="1" applyBorder="1" applyAlignment="1"/>
    <xf numFmtId="43" fontId="71" fillId="0" borderId="10" xfId="1" applyFont="1" applyFill="1" applyBorder="1" applyAlignment="1"/>
    <xf numFmtId="166" fontId="71" fillId="0" borderId="10" xfId="1" applyNumberFormat="1" applyFont="1" applyFill="1" applyBorder="1" applyAlignment="1"/>
    <xf numFmtId="0" fontId="73" fillId="0" borderId="10" xfId="0" applyFont="1" applyFill="1" applyBorder="1" applyAlignment="1"/>
    <xf numFmtId="43" fontId="34" fillId="0" borderId="10" xfId="1" applyFont="1" applyFill="1" applyBorder="1" applyAlignment="1">
      <alignment horizontal="center" vertical="center"/>
    </xf>
    <xf numFmtId="166" fontId="51" fillId="0" borderId="10" xfId="1" applyNumberFormat="1" applyFont="1" applyFill="1" applyBorder="1" applyAlignment="1">
      <alignment horizontal="right"/>
    </xf>
    <xf numFmtId="0" fontId="34" fillId="0" borderId="10" xfId="0" applyFont="1" applyBorder="1" applyAlignment="1"/>
    <xf numFmtId="0" fontId="59" fillId="3" borderId="8" xfId="0" applyFont="1" applyFill="1" applyBorder="1" applyAlignment="1">
      <alignment wrapText="1"/>
    </xf>
    <xf numFmtId="166" fontId="73" fillId="0" borderId="10" xfId="1" applyNumberFormat="1" applyFont="1" applyFill="1" applyBorder="1" applyAlignment="1"/>
    <xf numFmtId="0" fontId="34" fillId="0" borderId="0" xfId="0" applyFont="1"/>
    <xf numFmtId="0" fontId="35" fillId="0" borderId="9" xfId="0" applyFont="1" applyFill="1" applyBorder="1"/>
    <xf numFmtId="0" fontId="29" fillId="0" borderId="10" xfId="6" applyFont="1" applyFill="1" applyBorder="1" applyAlignment="1">
      <alignment horizontal="right" vertical="center" wrapText="1" readingOrder="1"/>
    </xf>
    <xf numFmtId="170" fontId="39" fillId="0" borderId="10" xfId="1" applyNumberFormat="1" applyFont="1" applyFill="1" applyBorder="1"/>
    <xf numFmtId="174" fontId="40" fillId="0" borderId="10" xfId="4" applyNumberFormat="1" applyFont="1" applyBorder="1" applyAlignment="1">
      <alignment horizontal="right" vertical="center" wrapText="1" readingOrder="1"/>
    </xf>
    <xf numFmtId="0" fontId="39" fillId="3" borderId="10" xfId="0" applyFont="1" applyFill="1" applyBorder="1"/>
    <xf numFmtId="0" fontId="39" fillId="0" borderId="10" xfId="0" applyFont="1" applyBorder="1"/>
    <xf numFmtId="0" fontId="39" fillId="0" borderId="11" xfId="0" applyFont="1" applyBorder="1"/>
    <xf numFmtId="0" fontId="39" fillId="0" borderId="0" xfId="0" applyFont="1" applyFill="1"/>
    <xf numFmtId="166" fontId="29" fillId="0" borderId="10" xfId="1" applyNumberFormat="1" applyFont="1" applyFill="1" applyBorder="1" applyAlignment="1">
      <alignment wrapText="1"/>
    </xf>
    <xf numFmtId="166" fontId="44" fillId="3" borderId="10" xfId="1" applyNumberFormat="1" applyFont="1" applyFill="1" applyBorder="1"/>
    <xf numFmtId="0" fontId="39" fillId="0" borderId="9" xfId="0" applyFont="1" applyFill="1" applyBorder="1"/>
    <xf numFmtId="166" fontId="39" fillId="0" borderId="0" xfId="1" applyNumberFormat="1" applyFont="1"/>
    <xf numFmtId="0" fontId="39" fillId="0" borderId="0" xfId="0" applyFont="1"/>
    <xf numFmtId="0" fontId="29" fillId="0" borderId="10" xfId="6" applyFont="1" applyFill="1" applyBorder="1" applyAlignment="1">
      <alignment vertical="center" wrapText="1" readingOrder="2"/>
    </xf>
    <xf numFmtId="0" fontId="39" fillId="0" borderId="7" xfId="0" applyFont="1" applyFill="1" applyBorder="1"/>
    <xf numFmtId="0" fontId="29" fillId="0" borderId="8" xfId="6" applyFont="1" applyFill="1" applyBorder="1" applyAlignment="1">
      <alignment vertical="center" wrapText="1" readingOrder="2"/>
    </xf>
    <xf numFmtId="170" fontId="39" fillId="0" borderId="8" xfId="1" applyNumberFormat="1" applyFont="1" applyFill="1" applyBorder="1"/>
    <xf numFmtId="174" fontId="40" fillId="0" borderId="8" xfId="4" applyNumberFormat="1" applyFont="1" applyBorder="1" applyAlignment="1">
      <alignment horizontal="right" vertical="center" wrapText="1" readingOrder="1"/>
    </xf>
    <xf numFmtId="0" fontId="39" fillId="3" borderId="8" xfId="0" applyFont="1" applyFill="1" applyBorder="1"/>
    <xf numFmtId="0" fontId="39" fillId="0" borderId="8" xfId="0" applyFont="1" applyBorder="1"/>
    <xf numFmtId="0" fontId="39" fillId="0" borderId="12" xfId="0" applyFont="1" applyBorder="1"/>
    <xf numFmtId="175" fontId="53" fillId="0" borderId="10" xfId="1" applyNumberFormat="1" applyFont="1" applyBorder="1" applyAlignment="1">
      <alignment horizontal="right" vertical="center" wrapText="1"/>
    </xf>
    <xf numFmtId="0" fontId="35" fillId="0" borderId="0" xfId="0" applyFont="1" applyAlignment="1"/>
    <xf numFmtId="166" fontId="23" fillId="0" borderId="9" xfId="1" applyNumberFormat="1" applyFont="1" applyFill="1" applyBorder="1" applyAlignment="1">
      <alignment wrapText="1"/>
    </xf>
    <xf numFmtId="166" fontId="23" fillId="0" borderId="10" xfId="1" applyNumberFormat="1" applyFont="1" applyFill="1" applyBorder="1" applyAlignment="1">
      <alignment wrapText="1"/>
    </xf>
    <xf numFmtId="166" fontId="69" fillId="3" borderId="10" xfId="1" applyNumberFormat="1" applyFont="1" applyFill="1" applyBorder="1"/>
    <xf numFmtId="0" fontId="39" fillId="0" borderId="0" xfId="0" applyFont="1" applyAlignment="1"/>
    <xf numFmtId="170" fontId="23" fillId="3" borderId="11" xfId="0" applyNumberFormat="1" applyFont="1" applyFill="1" applyBorder="1" applyAlignment="1"/>
    <xf numFmtId="43" fontId="34" fillId="0" borderId="10" xfId="1" applyFont="1" applyFill="1" applyBorder="1" applyAlignment="1">
      <alignment vertical="center"/>
    </xf>
    <xf numFmtId="0" fontId="25" fillId="3" borderId="25" xfId="3" applyFont="1" applyFill="1" applyBorder="1" applyAlignment="1">
      <alignment wrapText="1"/>
    </xf>
    <xf numFmtId="0" fontId="59" fillId="3" borderId="22" xfId="3" applyFont="1" applyFill="1" applyBorder="1" applyAlignment="1">
      <alignment horizontal="right" vertical="center" wrapText="1"/>
    </xf>
    <xf numFmtId="0" fontId="25" fillId="3" borderId="22" xfId="3" applyFont="1" applyFill="1" applyBorder="1" applyAlignment="1">
      <alignment wrapText="1"/>
    </xf>
    <xf numFmtId="43" fontId="25" fillId="3" borderId="22" xfId="1" applyFont="1" applyFill="1" applyBorder="1" applyAlignment="1">
      <alignment wrapText="1"/>
    </xf>
    <xf numFmtId="170" fontId="58" fillId="3" borderId="22" xfId="3" applyNumberFormat="1" applyFont="1" applyFill="1" applyBorder="1" applyAlignment="1">
      <alignment wrapText="1"/>
    </xf>
    <xf numFmtId="0" fontId="34" fillId="3" borderId="22" xfId="0" applyFont="1" applyFill="1" applyBorder="1" applyAlignment="1">
      <alignment wrapText="1"/>
    </xf>
    <xf numFmtId="170" fontId="59" fillId="3" borderId="23" xfId="0" applyNumberFormat="1" applyFont="1" applyFill="1" applyBorder="1" applyAlignment="1">
      <alignment wrapText="1"/>
    </xf>
    <xf numFmtId="166" fontId="34" fillId="0" borderId="0" xfId="1" applyNumberFormat="1" applyFont="1" applyFill="1" applyBorder="1" applyAlignment="1">
      <alignment wrapText="1"/>
    </xf>
    <xf numFmtId="0" fontId="34" fillId="0" borderId="0" xfId="0" applyFont="1" applyFill="1" applyBorder="1" applyAlignment="1">
      <alignment wrapText="1"/>
    </xf>
    <xf numFmtId="0" fontId="39" fillId="0" borderId="0" xfId="0" applyFont="1" applyFill="1" applyBorder="1" applyAlignment="1"/>
    <xf numFmtId="43" fontId="35" fillId="0" borderId="8" xfId="1" applyFont="1" applyFill="1" applyBorder="1" applyAlignment="1"/>
    <xf numFmtId="0" fontId="35" fillId="0" borderId="8" xfId="0" applyFont="1" applyFill="1" applyBorder="1" applyAlignment="1"/>
    <xf numFmtId="0" fontId="39" fillId="3" borderId="22" xfId="0" applyFont="1" applyFill="1" applyBorder="1" applyAlignment="1"/>
    <xf numFmtId="170" fontId="23" fillId="3" borderId="23" xfId="0" applyNumberFormat="1" applyFont="1" applyFill="1" applyBorder="1" applyAlignment="1"/>
    <xf numFmtId="0" fontId="69" fillId="0" borderId="58" xfId="0" applyFont="1" applyBorder="1"/>
    <xf numFmtId="0" fontId="29" fillId="0" borderId="10" xfId="0" applyFont="1" applyFill="1" applyBorder="1" applyAlignment="1">
      <alignment horizontal="right" vertical="center" wrapText="1" readingOrder="2"/>
    </xf>
    <xf numFmtId="0" fontId="29" fillId="0" borderId="10" xfId="3" applyFont="1" applyBorder="1" applyAlignment="1"/>
    <xf numFmtId="170" fontId="29" fillId="0" borderId="10" xfId="3" applyNumberFormat="1" applyFont="1" applyFill="1" applyBorder="1"/>
    <xf numFmtId="0" fontId="44" fillId="3" borderId="10" xfId="0" applyFont="1" applyFill="1" applyBorder="1"/>
    <xf numFmtId="0" fontId="44" fillId="0" borderId="8" xfId="0" applyFont="1" applyBorder="1"/>
    <xf numFmtId="0" fontId="44" fillId="0" borderId="12" xfId="0" applyFont="1" applyBorder="1"/>
    <xf numFmtId="166" fontId="44" fillId="0" borderId="10" xfId="1" applyNumberFormat="1" applyFont="1" applyFill="1" applyBorder="1" applyAlignment="1">
      <alignment wrapText="1"/>
    </xf>
    <xf numFmtId="166" fontId="44" fillId="0" borderId="11" xfId="1" applyNumberFormat="1" applyFont="1" applyFill="1" applyBorder="1" applyAlignment="1">
      <alignment wrapText="1"/>
    </xf>
    <xf numFmtId="0" fontId="29" fillId="0" borderId="10" xfId="0" applyFont="1" applyFill="1" applyBorder="1" applyAlignment="1">
      <alignment horizontal="right" vertical="center" wrapText="1" readingOrder="1"/>
    </xf>
    <xf numFmtId="0" fontId="29" fillId="0" borderId="10" xfId="3" applyFont="1" applyFill="1" applyBorder="1" applyAlignment="1"/>
    <xf numFmtId="0" fontId="29" fillId="0" borderId="10" xfId="3" applyFont="1" applyFill="1" applyBorder="1" applyAlignment="1">
      <alignment horizontal="right" vertical="center" wrapText="1" readingOrder="2"/>
    </xf>
    <xf numFmtId="0" fontId="41" fillId="16" borderId="10" xfId="0" applyFont="1" applyFill="1" applyBorder="1" applyAlignment="1">
      <alignment horizontal="right" vertical="center" wrapText="1" readingOrder="2"/>
    </xf>
    <xf numFmtId="0" fontId="40" fillId="0" borderId="10" xfId="0" applyFont="1" applyFill="1" applyBorder="1" applyAlignment="1">
      <alignment vertical="center" wrapText="1" readingOrder="2"/>
    </xf>
    <xf numFmtId="166" fontId="39" fillId="0" borderId="10" xfId="1" applyNumberFormat="1" applyFont="1" applyBorder="1" applyAlignment="1">
      <alignment horizontal="right" vertical="center" wrapText="1"/>
    </xf>
    <xf numFmtId="166" fontId="39" fillId="0" borderId="0" xfId="0" applyNumberFormat="1" applyFont="1"/>
    <xf numFmtId="170" fontId="23" fillId="3" borderId="10" xfId="5" applyNumberFormat="1" applyFont="1" applyFill="1" applyBorder="1" applyAlignment="1">
      <alignment wrapText="1"/>
    </xf>
    <xf numFmtId="170" fontId="23" fillId="3" borderId="10" xfId="3" applyNumberFormat="1" applyFont="1" applyFill="1" applyBorder="1"/>
    <xf numFmtId="170" fontId="23" fillId="3" borderId="11" xfId="3" applyNumberFormat="1" applyFont="1" applyFill="1" applyBorder="1"/>
    <xf numFmtId="170" fontId="44" fillId="3" borderId="10" xfId="5" applyNumberFormat="1" applyFont="1" applyFill="1" applyBorder="1"/>
    <xf numFmtId="170" fontId="23" fillId="3" borderId="10" xfId="0" applyNumberFormat="1" applyFont="1" applyFill="1" applyBorder="1"/>
    <xf numFmtId="175" fontId="34" fillId="0" borderId="11" xfId="1" applyNumberFormat="1" applyFont="1" applyBorder="1" applyAlignment="1">
      <alignment horizontal="center"/>
    </xf>
    <xf numFmtId="175" fontId="51" fillId="0" borderId="10" xfId="1" applyNumberFormat="1" applyFont="1" applyFill="1" applyBorder="1" applyAlignment="1">
      <alignment vertical="center"/>
    </xf>
    <xf numFmtId="170" fontId="34" fillId="3" borderId="25" xfId="5" applyNumberFormat="1" applyFont="1" applyFill="1" applyBorder="1" applyAlignment="1"/>
    <xf numFmtId="170" fontId="59" fillId="3" borderId="22" xfId="5" applyNumberFormat="1" applyFont="1" applyFill="1" applyBorder="1" applyAlignment="1"/>
    <xf numFmtId="170" fontId="34" fillId="3" borderId="22" xfId="5" applyNumberFormat="1" applyFont="1" applyFill="1" applyBorder="1" applyAlignment="1"/>
    <xf numFmtId="43" fontId="34" fillId="3" borderId="22" xfId="1" applyFont="1" applyFill="1" applyBorder="1" applyAlignment="1"/>
    <xf numFmtId="170" fontId="59" fillId="3" borderId="22" xfId="3" applyNumberFormat="1" applyFont="1" applyFill="1" applyBorder="1" applyAlignment="1"/>
    <xf numFmtId="0" fontId="34" fillId="3" borderId="22" xfId="0" applyFont="1" applyFill="1" applyBorder="1" applyAlignment="1"/>
    <xf numFmtId="170" fontId="59" fillId="3" borderId="23" xfId="0" applyNumberFormat="1" applyFont="1" applyFill="1" applyBorder="1" applyAlignment="1"/>
    <xf numFmtId="0" fontId="25" fillId="3" borderId="22" xfId="3" applyFont="1" applyFill="1" applyBorder="1" applyAlignment="1"/>
    <xf numFmtId="166" fontId="34" fillId="0" borderId="0" xfId="1" applyNumberFormat="1" applyFont="1" applyAlignment="1">
      <alignment vertical="center"/>
    </xf>
    <xf numFmtId="0" fontId="34" fillId="0" borderId="0" xfId="0" applyFont="1" applyAlignment="1">
      <alignment vertical="center"/>
    </xf>
    <xf numFmtId="175" fontId="34" fillId="0" borderId="9" xfId="1" applyNumberFormat="1" applyFont="1" applyBorder="1" applyAlignment="1">
      <alignment horizontal="right" vertical="center"/>
    </xf>
    <xf numFmtId="175" fontId="34" fillId="0" borderId="10" xfId="1" applyNumberFormat="1" applyFont="1" applyBorder="1" applyAlignment="1">
      <alignment horizontal="right" vertical="center"/>
    </xf>
    <xf numFmtId="43" fontId="55" fillId="0" borderId="10" xfId="1" applyFont="1" applyFill="1" applyBorder="1" applyAlignment="1">
      <alignment horizontal="right" vertical="center"/>
    </xf>
    <xf numFmtId="0" fontId="34" fillId="3" borderId="10" xfId="0" applyFont="1" applyFill="1" applyBorder="1" applyAlignment="1">
      <alignment horizontal="right" vertical="center"/>
    </xf>
    <xf numFmtId="175" fontId="34" fillId="0" borderId="11" xfId="1" applyNumberFormat="1" applyFont="1" applyBorder="1" applyAlignment="1">
      <alignment horizontal="right" vertical="center"/>
    </xf>
    <xf numFmtId="166" fontId="34" fillId="0" borderId="0" xfId="1" applyNumberFormat="1" applyFont="1" applyAlignment="1">
      <alignment horizontal="right" vertical="center"/>
    </xf>
    <xf numFmtId="0" fontId="34" fillId="0" borderId="0" xfId="0" applyFont="1" applyAlignment="1">
      <alignment horizontal="right" vertical="center"/>
    </xf>
    <xf numFmtId="166" fontId="46" fillId="0" borderId="9" xfId="1" applyNumberFormat="1" applyFont="1" applyFill="1" applyBorder="1" applyAlignment="1">
      <alignment horizontal="right" vertical="center" wrapText="1"/>
    </xf>
    <xf numFmtId="166" fontId="46" fillId="0" borderId="10" xfId="1" applyNumberFormat="1" applyFont="1" applyFill="1" applyBorder="1" applyAlignment="1">
      <alignment horizontal="right" vertical="center" wrapText="1"/>
    </xf>
    <xf numFmtId="166" fontId="72" fillId="3" borderId="10" xfId="1" applyNumberFormat="1" applyFont="1" applyFill="1" applyBorder="1" applyAlignment="1">
      <alignment horizontal="right" vertical="center"/>
    </xf>
    <xf numFmtId="43" fontId="34" fillId="0" borderId="10" xfId="1" applyFont="1" applyFill="1" applyBorder="1" applyAlignment="1">
      <alignment horizontal="right" vertical="center"/>
    </xf>
    <xf numFmtId="170" fontId="34" fillId="3" borderId="25" xfId="5" applyNumberFormat="1" applyFont="1" applyFill="1" applyBorder="1" applyAlignment="1">
      <alignment horizontal="right" vertical="center"/>
    </xf>
    <xf numFmtId="170" fontId="59" fillId="3" borderId="22" xfId="5" applyNumberFormat="1" applyFont="1" applyFill="1" applyBorder="1" applyAlignment="1">
      <alignment horizontal="right" vertical="center"/>
    </xf>
    <xf numFmtId="170" fontId="34" fillId="3" borderId="22" xfId="5" applyNumberFormat="1" applyFont="1" applyFill="1" applyBorder="1" applyAlignment="1">
      <alignment horizontal="right" vertical="center"/>
    </xf>
    <xf numFmtId="43" fontId="34" fillId="3" borderId="22" xfId="1" applyFont="1" applyFill="1" applyBorder="1" applyAlignment="1">
      <alignment horizontal="right" vertical="center"/>
    </xf>
    <xf numFmtId="170" fontId="59" fillId="3" borderId="22" xfId="3" applyNumberFormat="1" applyFont="1" applyFill="1" applyBorder="1" applyAlignment="1">
      <alignment horizontal="right" vertical="center"/>
    </xf>
    <xf numFmtId="0" fontId="34" fillId="3" borderId="22" xfId="0" applyFont="1" applyFill="1" applyBorder="1" applyAlignment="1">
      <alignment horizontal="right" vertical="center"/>
    </xf>
    <xf numFmtId="170" fontId="59" fillId="3" borderId="23" xfId="0" applyNumberFormat="1" applyFont="1" applyFill="1" applyBorder="1" applyAlignment="1">
      <alignment horizontal="right" vertical="center"/>
    </xf>
    <xf numFmtId="166" fontId="34" fillId="0" borderId="0" xfId="1" applyNumberFormat="1" applyFont="1" applyBorder="1" applyAlignment="1">
      <alignment horizontal="right" vertical="center"/>
    </xf>
    <xf numFmtId="0" fontId="34" fillId="0" borderId="0" xfId="0" applyFont="1" applyBorder="1" applyAlignment="1">
      <alignment horizontal="right" vertical="center"/>
    </xf>
    <xf numFmtId="0" fontId="25" fillId="3" borderId="22" xfId="3" applyFont="1" applyFill="1" applyBorder="1" applyAlignment="1">
      <alignment horizontal="right" vertical="center"/>
    </xf>
    <xf numFmtId="0" fontId="23" fillId="0" borderId="10" xfId="3" applyFont="1" applyFill="1" applyBorder="1" applyAlignment="1">
      <alignment horizontal="center" vertical="center" wrapText="1"/>
    </xf>
    <xf numFmtId="0" fontId="23" fillId="0" borderId="10" xfId="3" applyFont="1" applyFill="1" applyBorder="1" applyAlignment="1">
      <alignment horizontal="right" vertical="center"/>
    </xf>
    <xf numFmtId="0" fontId="39" fillId="0" borderId="10" xfId="0" applyFont="1" applyFill="1" applyBorder="1" applyAlignment="1">
      <alignment wrapText="1"/>
    </xf>
    <xf numFmtId="0" fontId="29" fillId="0" borderId="10" xfId="3" applyFont="1" applyFill="1" applyBorder="1" applyAlignment="1">
      <alignment horizontal="right" vertical="center" wrapText="1"/>
    </xf>
    <xf numFmtId="170" fontId="34" fillId="0" borderId="9" xfId="5" applyNumberFormat="1" applyFont="1" applyBorder="1" applyAlignment="1"/>
    <xf numFmtId="0" fontId="46" fillId="0" borderId="10" xfId="3" applyFont="1" applyFill="1" applyBorder="1" applyAlignment="1">
      <alignment horizontal="right" vertical="center"/>
    </xf>
    <xf numFmtId="0" fontId="25" fillId="0" borderId="10" xfId="3" applyFont="1" applyBorder="1" applyAlignment="1">
      <alignment horizontal="center" vertical="center"/>
    </xf>
    <xf numFmtId="0" fontId="25" fillId="0" borderId="11" xfId="3" applyFont="1" applyBorder="1" applyAlignment="1">
      <alignment horizontal="center" vertical="center"/>
    </xf>
    <xf numFmtId="43" fontId="55" fillId="0" borderId="8" xfId="1" applyFont="1" applyFill="1" applyBorder="1" applyAlignment="1">
      <alignment vertical="center"/>
    </xf>
    <xf numFmtId="0" fontId="34" fillId="3" borderId="8" xfId="0" applyFont="1" applyFill="1" applyBorder="1" applyAlignment="1"/>
    <xf numFmtId="0" fontId="25" fillId="3" borderId="25" xfId="3" applyFont="1" applyFill="1" applyBorder="1" applyAlignment="1"/>
    <xf numFmtId="0" fontId="59" fillId="3" borderId="22" xfId="3" applyFont="1" applyFill="1" applyBorder="1" applyAlignment="1">
      <alignment horizontal="right" vertical="center"/>
    </xf>
    <xf numFmtId="43" fontId="25" fillId="3" borderId="22" xfId="1" applyFont="1" applyFill="1" applyBorder="1" applyAlignment="1"/>
    <xf numFmtId="0" fontId="23" fillId="3" borderId="10" xfId="3" applyFont="1" applyFill="1" applyBorder="1" applyAlignment="1">
      <alignment wrapText="1"/>
    </xf>
    <xf numFmtId="0" fontId="23" fillId="3" borderId="10" xfId="0" applyFont="1" applyFill="1" applyBorder="1" applyAlignment="1">
      <alignment horizontal="center" vertical="center" wrapText="1"/>
    </xf>
    <xf numFmtId="0" fontId="23" fillId="3" borderId="10" xfId="0" applyFont="1" applyFill="1" applyBorder="1"/>
    <xf numFmtId="0" fontId="23" fillId="3" borderId="11" xfId="0" applyFont="1" applyFill="1" applyBorder="1" applyAlignment="1">
      <alignment horizontal="center" vertical="center" wrapText="1"/>
    </xf>
    <xf numFmtId="175" fontId="55" fillId="0" borderId="9" xfId="1" applyNumberFormat="1" applyFont="1" applyFill="1" applyBorder="1" applyAlignment="1">
      <alignment horizontal="center"/>
    </xf>
    <xf numFmtId="170" fontId="34" fillId="0" borderId="10" xfId="5" applyNumberFormat="1" applyFont="1" applyFill="1" applyBorder="1" applyAlignment="1">
      <alignment horizontal="right"/>
    </xf>
    <xf numFmtId="170" fontId="34" fillId="0" borderId="11" xfId="5" applyNumberFormat="1" applyFont="1" applyFill="1" applyBorder="1" applyAlignment="1">
      <alignment horizontal="right"/>
    </xf>
    <xf numFmtId="175" fontId="34" fillId="0" borderId="9" xfId="1" applyNumberFormat="1" applyFont="1" applyFill="1" applyBorder="1" applyAlignment="1">
      <alignment horizontal="center" vertical="center"/>
    </xf>
    <xf numFmtId="0" fontId="46" fillId="0" borderId="10" xfId="0" applyFont="1" applyFill="1" applyBorder="1" applyAlignment="1">
      <alignment vertical="center" wrapText="1"/>
    </xf>
    <xf numFmtId="175" fontId="34" fillId="0" borderId="9" xfId="1" applyNumberFormat="1" applyFont="1" applyFill="1" applyBorder="1" applyAlignment="1">
      <alignment horizontal="center"/>
    </xf>
    <xf numFmtId="170" fontId="59" fillId="3" borderId="23" xfId="3" applyNumberFormat="1" applyFont="1" applyFill="1" applyBorder="1" applyAlignment="1"/>
    <xf numFmtId="175" fontId="71" fillId="0" borderId="10" xfId="0" applyNumberFormat="1" applyFont="1" applyFill="1" applyBorder="1" applyAlignment="1"/>
    <xf numFmtId="166" fontId="59" fillId="0" borderId="9" xfId="1" applyNumberFormat="1" applyFont="1" applyFill="1" applyBorder="1" applyAlignment="1">
      <alignment wrapText="1"/>
    </xf>
    <xf numFmtId="175" fontId="34" fillId="0" borderId="10" xfId="1" applyNumberFormat="1" applyFont="1" applyFill="1" applyBorder="1" applyAlignment="1">
      <alignment horizontal="center" vertical="center"/>
    </xf>
    <xf numFmtId="175" fontId="34" fillId="0" borderId="10" xfId="1" applyNumberFormat="1" applyFont="1" applyFill="1" applyBorder="1" applyAlignment="1">
      <alignment horizontal="right"/>
    </xf>
    <xf numFmtId="166" fontId="74" fillId="0" borderId="10" xfId="1" applyNumberFormat="1" applyFont="1" applyFill="1" applyBorder="1" applyAlignment="1">
      <alignment horizontal="center"/>
    </xf>
    <xf numFmtId="175" fontId="34" fillId="0" borderId="10" xfId="1" applyNumberFormat="1" applyFont="1" applyFill="1" applyBorder="1" applyAlignment="1">
      <alignment horizontal="center"/>
    </xf>
    <xf numFmtId="166" fontId="34" fillId="0" borderId="0" xfId="1" applyNumberFormat="1" applyFont="1" applyFill="1" applyAlignment="1"/>
    <xf numFmtId="175" fontId="34" fillId="0" borderId="0" xfId="0" applyNumberFormat="1" applyFont="1" applyAlignment="1"/>
    <xf numFmtId="170" fontId="74" fillId="3" borderId="10" xfId="0" applyNumberFormat="1" applyFont="1" applyFill="1" applyBorder="1" applyAlignment="1"/>
    <xf numFmtId="166" fontId="74" fillId="3" borderId="10" xfId="1" applyNumberFormat="1" applyFont="1" applyFill="1" applyBorder="1" applyAlignment="1"/>
    <xf numFmtId="166" fontId="74" fillId="3" borderId="8" xfId="1" applyNumberFormat="1" applyFont="1" applyFill="1" applyBorder="1" applyAlignment="1"/>
    <xf numFmtId="165" fontId="34" fillId="0" borderId="0" xfId="1" applyNumberFormat="1" applyFont="1" applyBorder="1" applyAlignment="1"/>
    <xf numFmtId="175" fontId="56" fillId="0" borderId="11" xfId="1" applyNumberFormat="1" applyFont="1" applyBorder="1" applyAlignment="1">
      <alignment horizontal="right" vertical="center"/>
    </xf>
    <xf numFmtId="175" fontId="34" fillId="0" borderId="0" xfId="0" applyNumberFormat="1" applyFont="1" applyBorder="1" applyAlignment="1"/>
    <xf numFmtId="175" fontId="55" fillId="0" borderId="10" xfId="1" applyNumberFormat="1" applyFont="1" applyBorder="1" applyAlignment="1">
      <alignment horizontal="right"/>
    </xf>
    <xf numFmtId="170" fontId="34" fillId="3" borderId="9" xfId="5" applyNumberFormat="1" applyFont="1" applyFill="1" applyBorder="1" applyAlignment="1"/>
    <xf numFmtId="170" fontId="59" fillId="3" borderId="10" xfId="5" applyNumberFormat="1" applyFont="1" applyFill="1" applyBorder="1" applyAlignment="1"/>
    <xf numFmtId="170" fontId="34" fillId="3" borderId="10" xfId="5" applyNumberFormat="1" applyFont="1" applyFill="1" applyBorder="1" applyAlignment="1"/>
    <xf numFmtId="43" fontId="34" fillId="3" borderId="10" xfId="1" applyFont="1" applyFill="1" applyBorder="1" applyAlignment="1"/>
    <xf numFmtId="170" fontId="58" fillId="3" borderId="10" xfId="3" applyNumberFormat="1" applyFont="1" applyFill="1" applyBorder="1" applyAlignment="1"/>
    <xf numFmtId="170" fontId="59" fillId="3" borderId="11" xfId="0" applyNumberFormat="1" applyFont="1" applyFill="1" applyBorder="1" applyAlignment="1"/>
    <xf numFmtId="43" fontId="74" fillId="3" borderId="10" xfId="1" applyFont="1" applyFill="1" applyBorder="1" applyAlignment="1"/>
    <xf numFmtId="0" fontId="39" fillId="0" borderId="0" xfId="0" applyFont="1" applyBorder="1" applyAlignment="1"/>
    <xf numFmtId="166" fontId="66" fillId="0" borderId="8" xfId="1" applyNumberFormat="1" applyFont="1" applyFill="1" applyBorder="1" applyAlignment="1"/>
    <xf numFmtId="170" fontId="23" fillId="3" borderId="22" xfId="0" applyNumberFormat="1" applyFont="1" applyFill="1" applyBorder="1"/>
    <xf numFmtId="0" fontId="35" fillId="0" borderId="10" xfId="0" applyFont="1" applyFill="1" applyBorder="1"/>
    <xf numFmtId="0" fontId="35" fillId="0" borderId="10" xfId="0" applyFont="1" applyFill="1" applyBorder="1" applyAlignment="1">
      <alignment wrapText="1"/>
    </xf>
    <xf numFmtId="170" fontId="35" fillId="0" borderId="10" xfId="5" applyNumberFormat="1" applyFont="1" applyFill="1" applyBorder="1"/>
    <xf numFmtId="170" fontId="35" fillId="0" borderId="10" xfId="0" applyNumberFormat="1" applyFont="1" applyFill="1" applyBorder="1"/>
    <xf numFmtId="0" fontId="35" fillId="3" borderId="10" xfId="0" applyFont="1" applyFill="1" applyBorder="1"/>
    <xf numFmtId="0" fontId="35" fillId="0" borderId="11" xfId="0" applyFont="1" applyFill="1" applyBorder="1"/>
    <xf numFmtId="0" fontId="35" fillId="0" borderId="0" xfId="0" applyFont="1" applyFill="1"/>
    <xf numFmtId="170" fontId="35" fillId="0" borderId="10" xfId="5" applyNumberFormat="1" applyFont="1" applyFill="1" applyBorder="1" applyAlignment="1">
      <alignment wrapText="1"/>
    </xf>
    <xf numFmtId="170" fontId="29" fillId="0" borderId="11" xfId="3" applyNumberFormat="1" applyFont="1" applyFill="1" applyBorder="1"/>
    <xf numFmtId="174" fontId="39" fillId="0" borderId="0" xfId="0" applyNumberFormat="1" applyFont="1"/>
    <xf numFmtId="0" fontId="39" fillId="0" borderId="10" xfId="0" applyFont="1" applyBorder="1" applyAlignment="1">
      <alignment horizontal="center" wrapText="1"/>
    </xf>
    <xf numFmtId="170" fontId="39" fillId="0" borderId="10" xfId="5" applyNumberFormat="1" applyFont="1" applyFill="1" applyBorder="1" applyAlignment="1">
      <alignment horizontal="right"/>
    </xf>
    <xf numFmtId="170" fontId="39" fillId="0" borderId="10" xfId="5" applyNumberFormat="1" applyFont="1" applyFill="1" applyBorder="1"/>
    <xf numFmtId="170" fontId="39" fillId="0" borderId="10" xfId="5" applyNumberFormat="1" applyFont="1" applyBorder="1"/>
    <xf numFmtId="170" fontId="39" fillId="3" borderId="10" xfId="5" applyNumberFormat="1" applyFont="1" applyFill="1" applyBorder="1"/>
    <xf numFmtId="170" fontId="39" fillId="0" borderId="11" xfId="5" applyNumberFormat="1" applyFont="1" applyBorder="1"/>
    <xf numFmtId="0" fontId="35" fillId="0" borderId="0" xfId="0" applyFont="1"/>
    <xf numFmtId="170" fontId="39" fillId="0" borderId="10" xfId="5" applyNumberFormat="1" applyFont="1" applyFill="1" applyBorder="1" applyAlignment="1">
      <alignment horizontal="right" wrapText="1"/>
    </xf>
    <xf numFmtId="170" fontId="39" fillId="0" borderId="10" xfId="5" applyNumberFormat="1" applyFont="1" applyFill="1" applyBorder="1" applyAlignment="1">
      <alignment wrapText="1"/>
    </xf>
    <xf numFmtId="170" fontId="41" fillId="0" borderId="10" xfId="5" applyNumberFormat="1" applyFont="1" applyBorder="1" applyAlignment="1">
      <alignment horizontal="right" vertical="center" wrapText="1" readingOrder="2"/>
    </xf>
    <xf numFmtId="170" fontId="39" fillId="0" borderId="10" xfId="0" applyNumberFormat="1" applyFont="1" applyBorder="1"/>
    <xf numFmtId="0" fontId="42" fillId="0" borderId="10" xfId="0" applyFont="1" applyBorder="1" applyAlignment="1">
      <alignment horizontal="right" vertical="center" wrapText="1" readingOrder="2"/>
    </xf>
    <xf numFmtId="170" fontId="23" fillId="0" borderId="10" xfId="3" applyNumberFormat="1" applyFont="1" applyFill="1" applyBorder="1"/>
    <xf numFmtId="0" fontId="23" fillId="0" borderId="10" xfId="3" applyFont="1" applyBorder="1" applyAlignment="1"/>
    <xf numFmtId="170" fontId="23" fillId="0" borderId="11" xfId="3" applyNumberFormat="1" applyFont="1" applyFill="1" applyBorder="1"/>
    <xf numFmtId="0" fontId="39" fillId="0" borderId="10" xfId="0" applyNumberFormat="1" applyFont="1" applyFill="1" applyBorder="1"/>
    <xf numFmtId="0" fontId="39" fillId="0" borderId="10" xfId="0" applyFont="1" applyFill="1" applyBorder="1"/>
    <xf numFmtId="0" fontId="39" fillId="0" borderId="10" xfId="0" applyNumberFormat="1" applyFont="1" applyFill="1" applyBorder="1" applyAlignment="1">
      <alignment wrapText="1"/>
    </xf>
    <xf numFmtId="0" fontId="29" fillId="0" borderId="10" xfId="3" applyFont="1" applyFill="1" applyBorder="1" applyAlignment="1">
      <alignment vertical="center" wrapText="1" readingOrder="2"/>
    </xf>
    <xf numFmtId="0" fontId="29" fillId="0" borderId="10" xfId="3" applyFont="1" applyFill="1" applyBorder="1" applyAlignment="1">
      <alignment wrapText="1"/>
    </xf>
    <xf numFmtId="170" fontId="23" fillId="3" borderId="22" xfId="3" applyNumberFormat="1" applyFont="1" applyFill="1" applyBorder="1" applyAlignment="1">
      <alignment wrapText="1"/>
    </xf>
    <xf numFmtId="170" fontId="23" fillId="3" borderId="22" xfId="3" applyNumberFormat="1" applyFont="1" applyFill="1" applyBorder="1"/>
    <xf numFmtId="0" fontId="39" fillId="3" borderId="22" xfId="0" applyFont="1" applyFill="1" applyBorder="1"/>
    <xf numFmtId="170" fontId="23" fillId="3" borderId="23" xfId="3" applyNumberFormat="1" applyFont="1" applyFill="1" applyBorder="1"/>
    <xf numFmtId="0" fontId="23" fillId="0" borderId="10" xfId="0" applyFont="1" applyFill="1" applyBorder="1" applyAlignment="1">
      <alignment wrapText="1"/>
    </xf>
    <xf numFmtId="0" fontId="39" fillId="0" borderId="9" xfId="0" applyFont="1" applyBorder="1"/>
    <xf numFmtId="174" fontId="40" fillId="0" borderId="10" xfId="4" applyNumberFormat="1" applyFont="1" applyFill="1" applyBorder="1" applyAlignment="1">
      <alignment horizontal="right" vertical="center" wrapText="1" readingOrder="1"/>
    </xf>
    <xf numFmtId="165" fontId="39" fillId="0" borderId="0" xfId="0" applyNumberFormat="1" applyFont="1"/>
    <xf numFmtId="170" fontId="39" fillId="0" borderId="10" xfId="5" applyNumberFormat="1" applyFont="1" applyFill="1" applyBorder="1" applyAlignment="1">
      <alignment vertical="center" wrapText="1"/>
    </xf>
    <xf numFmtId="175" fontId="39" fillId="0" borderId="10" xfId="0" applyNumberFormat="1" applyFont="1" applyFill="1" applyBorder="1" applyAlignment="1">
      <alignment wrapText="1"/>
    </xf>
    <xf numFmtId="170" fontId="23" fillId="3" borderId="10" xfId="3" applyNumberFormat="1" applyFont="1" applyFill="1" applyBorder="1" applyAlignment="1">
      <alignment wrapText="1"/>
    </xf>
    <xf numFmtId="170" fontId="23" fillId="3" borderId="10" xfId="3" applyNumberFormat="1" applyFont="1" applyFill="1" applyBorder="1" applyAlignment="1"/>
    <xf numFmtId="170" fontId="39" fillId="3" borderId="36" xfId="5" applyNumberFormat="1" applyFont="1" applyFill="1" applyBorder="1" applyAlignment="1">
      <alignment wrapText="1"/>
    </xf>
    <xf numFmtId="170" fontId="35" fillId="3" borderId="36" xfId="0" applyNumberFormat="1" applyFont="1" applyFill="1" applyBorder="1" applyAlignment="1">
      <alignment wrapText="1"/>
    </xf>
    <xf numFmtId="0" fontId="23" fillId="3" borderId="11" xfId="0" applyFont="1" applyFill="1" applyBorder="1" applyAlignment="1">
      <alignment wrapText="1"/>
    </xf>
    <xf numFmtId="0" fontId="23" fillId="3" borderId="10" xfId="0" applyFont="1" applyFill="1" applyBorder="1" applyAlignment="1">
      <alignment horizontal="center" vertical="center"/>
    </xf>
    <xf numFmtId="0" fontId="23" fillId="3" borderId="10" xfId="3" applyFont="1" applyFill="1" applyBorder="1" applyAlignment="1">
      <alignment horizontal="center" vertical="center"/>
    </xf>
    <xf numFmtId="0" fontId="23" fillId="3" borderId="10" xfId="3" applyFont="1" applyFill="1" applyBorder="1" applyAlignment="1">
      <alignment horizontal="center" vertical="center" wrapText="1"/>
    </xf>
    <xf numFmtId="0" fontId="44" fillId="3" borderId="10" xfId="0" applyFont="1" applyFill="1" applyBorder="1" applyAlignment="1">
      <alignment horizontal="center" vertical="center"/>
    </xf>
    <xf numFmtId="170" fontId="35" fillId="0" borderId="10" xfId="1" applyNumberFormat="1" applyFont="1" applyFill="1" applyBorder="1"/>
    <xf numFmtId="174" fontId="40" fillId="0" borderId="11" xfId="4" applyNumberFormat="1" applyFont="1" applyBorder="1" applyAlignment="1">
      <alignment horizontal="right" vertical="center" wrapText="1" readingOrder="1"/>
    </xf>
    <xf numFmtId="0" fontId="23" fillId="0" borderId="10" xfId="0" applyFont="1" applyFill="1" applyBorder="1" applyAlignment="1">
      <alignment horizontal="center" vertical="center" wrapText="1"/>
    </xf>
    <xf numFmtId="0" fontId="23" fillId="0" borderId="11" xfId="0" applyFont="1" applyFill="1" applyBorder="1" applyAlignment="1">
      <alignment horizontal="center" vertical="center" wrapText="1"/>
    </xf>
    <xf numFmtId="0" fontId="69" fillId="0" borderId="9" xfId="0" applyFont="1" applyFill="1" applyBorder="1"/>
    <xf numFmtId="0" fontId="29" fillId="0" borderId="10" xfId="3" applyNumberFormat="1" applyFont="1" applyBorder="1" applyAlignment="1">
      <alignment horizontal="right"/>
    </xf>
    <xf numFmtId="166" fontId="29" fillId="0" borderId="10" xfId="1" applyNumberFormat="1" applyFont="1" applyBorder="1" applyAlignment="1">
      <alignment wrapText="1"/>
    </xf>
    <xf numFmtId="166" fontId="29" fillId="0" borderId="10" xfId="3" applyNumberFormat="1" applyFont="1" applyFill="1" applyBorder="1"/>
    <xf numFmtId="43" fontId="29" fillId="0" borderId="10" xfId="3" applyNumberFormat="1" applyFont="1" applyFill="1" applyBorder="1"/>
    <xf numFmtId="166" fontId="29" fillId="0" borderId="10" xfId="1" applyNumberFormat="1" applyFont="1" applyBorder="1" applyAlignment="1"/>
    <xf numFmtId="166" fontId="29" fillId="0" borderId="11" xfId="3" applyNumberFormat="1" applyFont="1" applyFill="1" applyBorder="1"/>
    <xf numFmtId="0" fontId="39" fillId="10" borderId="10" xfId="0" applyFont="1" applyFill="1" applyBorder="1" applyAlignment="1">
      <alignment wrapText="1"/>
    </xf>
    <xf numFmtId="170" fontId="44" fillId="0" borderId="10" xfId="1" applyNumberFormat="1" applyFont="1" applyFill="1" applyBorder="1"/>
    <xf numFmtId="166" fontId="23" fillId="3" borderId="11" xfId="3" applyNumberFormat="1" applyFont="1" applyFill="1" applyBorder="1"/>
    <xf numFmtId="170" fontId="23" fillId="0" borderId="12" xfId="3" applyNumberFormat="1" applyFont="1" applyFill="1" applyBorder="1"/>
    <xf numFmtId="170" fontId="23" fillId="0" borderId="23" xfId="3" applyNumberFormat="1" applyFont="1" applyFill="1" applyBorder="1"/>
    <xf numFmtId="170" fontId="39" fillId="0" borderId="0" xfId="0" applyNumberFormat="1" applyFont="1"/>
    <xf numFmtId="0" fontId="23" fillId="0" borderId="10" xfId="0" applyFont="1" applyFill="1" applyBorder="1"/>
    <xf numFmtId="0" fontId="44" fillId="0" borderId="10" xfId="0" applyFont="1" applyBorder="1" applyAlignment="1">
      <alignment wrapText="1"/>
    </xf>
    <xf numFmtId="0" fontId="44" fillId="0" borderId="10" xfId="0" applyFont="1" applyBorder="1"/>
    <xf numFmtId="0" fontId="44" fillId="0" borderId="11" xfId="0" applyFont="1" applyBorder="1"/>
    <xf numFmtId="174" fontId="39" fillId="0" borderId="11" xfId="0" applyNumberFormat="1" applyFont="1" applyBorder="1"/>
    <xf numFmtId="0" fontId="23" fillId="13" borderId="5" xfId="3" applyFont="1" applyFill="1" applyBorder="1" applyAlignment="1">
      <alignment horizontal="right" vertical="center" wrapText="1" readingOrder="1"/>
    </xf>
    <xf numFmtId="0" fontId="23" fillId="0" borderId="5" xfId="0" applyFont="1" applyBorder="1" applyAlignment="1">
      <alignment horizontal="center"/>
    </xf>
    <xf numFmtId="0" fontId="23" fillId="3" borderId="5" xfId="0" applyFont="1" applyFill="1" applyBorder="1"/>
    <xf numFmtId="0" fontId="44" fillId="3" borderId="5" xfId="0" applyFont="1" applyFill="1" applyBorder="1"/>
    <xf numFmtId="0" fontId="44" fillId="0" borderId="10" xfId="0" applyFont="1" applyFill="1" applyBorder="1"/>
    <xf numFmtId="165" fontId="39" fillId="0" borderId="10" xfId="0" applyNumberFormat="1" applyFont="1" applyBorder="1"/>
    <xf numFmtId="0" fontId="44" fillId="0" borderId="10" xfId="0" applyFont="1" applyFill="1" applyBorder="1" applyAlignment="1">
      <alignment wrapText="1"/>
    </xf>
    <xf numFmtId="0" fontId="70" fillId="0" borderId="37" xfId="0" applyFont="1" applyFill="1" applyBorder="1" applyAlignment="1">
      <alignment vertical="center" wrapText="1" readingOrder="1"/>
    </xf>
    <xf numFmtId="0" fontId="70" fillId="0" borderId="55" xfId="0" applyFont="1" applyFill="1" applyBorder="1" applyAlignment="1">
      <alignment vertical="center" wrapText="1" readingOrder="1"/>
    </xf>
    <xf numFmtId="0" fontId="75" fillId="0" borderId="55" xfId="0" applyFont="1" applyFill="1" applyBorder="1" applyAlignment="1">
      <alignment vertical="center" wrapText="1" readingOrder="1"/>
    </xf>
    <xf numFmtId="0" fontId="23" fillId="13" borderId="5" xfId="3" applyFont="1" applyFill="1" applyBorder="1" applyAlignment="1">
      <alignment horizontal="right" vertical="center" wrapText="1"/>
    </xf>
    <xf numFmtId="0" fontId="39" fillId="0" borderId="0" xfId="0" applyFont="1" applyAlignment="1">
      <alignment horizontal="center" vertical="center" wrapText="1"/>
    </xf>
    <xf numFmtId="0" fontId="52" fillId="13" borderId="5" xfId="0" applyFont="1" applyFill="1" applyBorder="1" applyAlignment="1">
      <alignment horizontal="right" vertical="center" wrapText="1" readingOrder="2"/>
    </xf>
    <xf numFmtId="0" fontId="39" fillId="3" borderId="5" xfId="0" applyFont="1" applyFill="1" applyBorder="1"/>
    <xf numFmtId="0" fontId="23" fillId="3" borderId="26" xfId="0" applyFont="1" applyFill="1" applyBorder="1" applyAlignment="1">
      <alignment wrapText="1"/>
    </xf>
    <xf numFmtId="0" fontId="23" fillId="0" borderId="10" xfId="0" applyFont="1" applyFill="1" applyBorder="1" applyAlignment="1">
      <alignment horizontal="right" wrapText="1" readingOrder="2"/>
    </xf>
    <xf numFmtId="0" fontId="39" fillId="0" borderId="11" xfId="0" applyFont="1" applyFill="1" applyBorder="1" applyAlignment="1">
      <alignment wrapText="1"/>
    </xf>
    <xf numFmtId="0" fontId="23" fillId="12" borderId="10" xfId="0" applyFont="1" applyFill="1" applyBorder="1" applyAlignment="1">
      <alignment horizontal="right" wrapText="1" readingOrder="2"/>
    </xf>
    <xf numFmtId="0" fontId="23" fillId="0" borderId="10" xfId="0" applyFont="1" applyFill="1" applyBorder="1" applyAlignment="1">
      <alignment horizontal="left" wrapText="1"/>
    </xf>
    <xf numFmtId="170" fontId="23" fillId="0" borderId="10" xfId="0" applyNumberFormat="1" applyFont="1" applyFill="1" applyBorder="1" applyAlignment="1">
      <alignment wrapText="1"/>
    </xf>
    <xf numFmtId="0" fontId="44" fillId="0" borderId="11" xfId="0" applyFont="1" applyFill="1" applyBorder="1" applyAlignment="1">
      <alignment wrapText="1"/>
    </xf>
    <xf numFmtId="170" fontId="19" fillId="0" borderId="10" xfId="1" applyNumberFormat="1" applyFont="1" applyBorder="1" applyAlignment="1">
      <alignment horizontal="right" vertical="center" wrapText="1"/>
    </xf>
    <xf numFmtId="172" fontId="39" fillId="0" borderId="0" xfId="0" applyNumberFormat="1" applyFont="1" applyFill="1" applyBorder="1"/>
    <xf numFmtId="170" fontId="44" fillId="0" borderId="10" xfId="5" applyNumberFormat="1" applyFont="1" applyFill="1" applyBorder="1"/>
    <xf numFmtId="170" fontId="44" fillId="0" borderId="10" xfId="0" applyNumberFormat="1" applyFont="1" applyFill="1" applyBorder="1" applyAlignment="1">
      <alignment wrapText="1"/>
    </xf>
    <xf numFmtId="166" fontId="44" fillId="0" borderId="10" xfId="1" applyNumberFormat="1" applyFont="1" applyFill="1" applyBorder="1"/>
    <xf numFmtId="170" fontId="19" fillId="0" borderId="10" xfId="1" applyNumberFormat="1" applyFont="1" applyBorder="1" applyAlignment="1">
      <alignment horizontal="right" vertical="center" wrapText="1" readingOrder="2"/>
    </xf>
    <xf numFmtId="170" fontId="19" fillId="0" borderId="10" xfId="1" applyNumberFormat="1" applyFont="1" applyFill="1" applyBorder="1" applyAlignment="1">
      <alignment horizontal="right" vertical="center" wrapText="1"/>
    </xf>
    <xf numFmtId="0" fontId="23" fillId="3" borderId="10" xfId="3" applyFont="1" applyFill="1" applyBorder="1"/>
    <xf numFmtId="0" fontId="39" fillId="0" borderId="10" xfId="0" applyFont="1" applyFill="1" applyBorder="1" applyAlignment="1">
      <alignment horizontal="center" wrapText="1"/>
    </xf>
    <xf numFmtId="0" fontId="39" fillId="0" borderId="11" xfId="0" applyFont="1" applyFill="1" applyBorder="1" applyAlignment="1">
      <alignment horizontal="center" wrapText="1"/>
    </xf>
    <xf numFmtId="0" fontId="44" fillId="0" borderId="11" xfId="0" applyFont="1" applyFill="1" applyBorder="1" applyAlignment="1">
      <alignment horizontal="center" wrapText="1"/>
    </xf>
    <xf numFmtId="166" fontId="23" fillId="3" borderId="10" xfId="1" applyNumberFormat="1" applyFont="1" applyFill="1" applyBorder="1"/>
    <xf numFmtId="166" fontId="44" fillId="0" borderId="10" xfId="1" applyNumberFormat="1" applyFont="1" applyFill="1" applyBorder="1" applyAlignment="1">
      <alignment horizontal="center" wrapText="1"/>
    </xf>
    <xf numFmtId="166" fontId="44" fillId="0" borderId="11" xfId="1" applyNumberFormat="1" applyFont="1" applyFill="1" applyBorder="1" applyAlignment="1">
      <alignment horizontal="center" wrapText="1"/>
    </xf>
    <xf numFmtId="0" fontId="39" fillId="0" borderId="0" xfId="0" applyFont="1" applyBorder="1"/>
    <xf numFmtId="0" fontId="39" fillId="0" borderId="0" xfId="0" applyFont="1" applyFill="1" applyBorder="1"/>
    <xf numFmtId="0" fontId="44" fillId="0" borderId="10" xfId="0" applyFont="1" applyFill="1" applyBorder="1" applyAlignment="1">
      <alignment horizontal="center" wrapText="1"/>
    </xf>
    <xf numFmtId="0" fontId="44" fillId="3" borderId="10" xfId="0" applyFont="1" applyFill="1" applyBorder="1" applyAlignment="1"/>
    <xf numFmtId="170" fontId="23" fillId="17" borderId="11" xfId="0" applyNumberFormat="1" applyFont="1" applyFill="1" applyBorder="1" applyAlignment="1"/>
    <xf numFmtId="170" fontId="39" fillId="0" borderId="0" xfId="0" applyNumberFormat="1" applyFont="1" applyFill="1" applyBorder="1"/>
    <xf numFmtId="0" fontId="19" fillId="0" borderId="0" xfId="0" applyFont="1" applyFill="1" applyBorder="1" applyAlignment="1">
      <alignment horizontal="right" vertical="center" wrapText="1" readingOrder="2"/>
    </xf>
    <xf numFmtId="170" fontId="19" fillId="0" borderId="0" xfId="0" applyNumberFormat="1" applyFont="1" applyFill="1" applyBorder="1" applyAlignment="1">
      <alignment horizontal="right" vertical="center" wrapText="1" readingOrder="2"/>
    </xf>
    <xf numFmtId="0" fontId="44" fillId="0" borderId="0" xfId="0" applyFont="1" applyFill="1" applyBorder="1" applyAlignment="1">
      <alignment horizontal="center" wrapText="1"/>
    </xf>
    <xf numFmtId="0" fontId="69" fillId="0" borderId="0" xfId="0" applyFont="1" applyFill="1" applyBorder="1" applyAlignment="1">
      <alignment horizontal="center" wrapText="1"/>
    </xf>
    <xf numFmtId="170" fontId="69" fillId="0" borderId="0" xfId="0" applyNumberFormat="1" applyFont="1" applyFill="1" applyBorder="1" applyAlignment="1">
      <alignment horizontal="center" wrapText="1"/>
    </xf>
    <xf numFmtId="0" fontId="19" fillId="0" borderId="0" xfId="0" applyFont="1" applyFill="1" applyBorder="1" applyAlignment="1">
      <alignment vertical="center" wrapText="1" readingOrder="2"/>
    </xf>
    <xf numFmtId="166" fontId="23" fillId="7" borderId="10" xfId="1" applyNumberFormat="1" applyFont="1" applyFill="1" applyBorder="1" applyAlignment="1">
      <alignment wrapText="1"/>
    </xf>
    <xf numFmtId="170" fontId="39" fillId="0" borderId="0" xfId="0" applyNumberFormat="1" applyFont="1" applyFill="1"/>
    <xf numFmtId="170" fontId="39" fillId="0" borderId="0" xfId="0" applyNumberFormat="1" applyFont="1" applyBorder="1"/>
    <xf numFmtId="170" fontId="39" fillId="0" borderId="0" xfId="5" applyNumberFormat="1" applyFont="1" applyFill="1" applyBorder="1"/>
    <xf numFmtId="170" fontId="23" fillId="0" borderId="0" xfId="0" applyNumberFormat="1" applyFont="1" applyFill="1" applyBorder="1"/>
    <xf numFmtId="170" fontId="23" fillId="0" borderId="0" xfId="0" applyNumberFormat="1" applyFont="1" applyFill="1" applyBorder="1" applyAlignment="1"/>
    <xf numFmtId="170" fontId="39" fillId="0" borderId="10" xfId="1" applyNumberFormat="1" applyFont="1" applyFill="1" applyBorder="1" applyAlignment="1">
      <alignment horizontal="right" readingOrder="2"/>
    </xf>
    <xf numFmtId="170" fontId="19" fillId="0" borderId="10" xfId="1" applyNumberFormat="1" applyFont="1" applyFill="1" applyBorder="1" applyAlignment="1">
      <alignment horizontal="right" vertical="center" wrapText="1" readingOrder="2"/>
    </xf>
    <xf numFmtId="170" fontId="39" fillId="0" borderId="10" xfId="1" applyNumberFormat="1" applyFont="1" applyFill="1" applyBorder="1" applyAlignment="1">
      <alignment horizontal="right"/>
    </xf>
    <xf numFmtId="170" fontId="44" fillId="0" borderId="10" xfId="1" applyNumberFormat="1" applyFont="1" applyFill="1" applyBorder="1" applyAlignment="1">
      <alignment horizontal="right"/>
    </xf>
    <xf numFmtId="170" fontId="39" fillId="0" borderId="10" xfId="1" applyNumberFormat="1" applyFont="1" applyFill="1" applyBorder="1" applyAlignment="1"/>
    <xf numFmtId="170" fontId="35" fillId="0" borderId="0" xfId="0" applyNumberFormat="1" applyFont="1"/>
    <xf numFmtId="0" fontId="35" fillId="0" borderId="25" xfId="0" applyFont="1" applyFill="1" applyBorder="1"/>
    <xf numFmtId="0" fontId="39" fillId="0" borderId="22" xfId="0" applyFont="1" applyBorder="1"/>
    <xf numFmtId="0" fontId="39" fillId="0" borderId="23" xfId="0" applyFont="1" applyBorder="1"/>
    <xf numFmtId="0" fontId="69" fillId="0" borderId="25" xfId="0" applyFont="1" applyFill="1" applyBorder="1"/>
    <xf numFmtId="0" fontId="44" fillId="0" borderId="38" xfId="0" applyFont="1" applyBorder="1" applyAlignment="1"/>
    <xf numFmtId="0" fontId="23" fillId="13" borderId="5" xfId="0" applyFont="1" applyFill="1" applyBorder="1" applyAlignment="1">
      <alignment horizontal="right" vertical="center" wrapText="1" readingOrder="1"/>
    </xf>
    <xf numFmtId="0" fontId="76" fillId="0" borderId="72" xfId="0" applyFont="1" applyFill="1" applyBorder="1" applyAlignment="1">
      <alignment wrapText="1"/>
    </xf>
    <xf numFmtId="170" fontId="41" fillId="0" borderId="10" xfId="5" applyNumberFormat="1" applyFont="1" applyFill="1" applyBorder="1" applyAlignment="1">
      <alignment horizontal="right" vertical="center" wrapText="1" readingOrder="2"/>
    </xf>
    <xf numFmtId="175" fontId="39" fillId="0" borderId="10" xfId="1" applyNumberFormat="1" applyFont="1" applyBorder="1" applyAlignment="1">
      <alignment horizontal="center" wrapText="1"/>
    </xf>
    <xf numFmtId="175" fontId="39" fillId="0" borderId="10" xfId="1" applyNumberFormat="1" applyFont="1" applyFill="1" applyBorder="1" applyAlignment="1">
      <alignment wrapText="1"/>
    </xf>
    <xf numFmtId="170" fontId="43" fillId="0" borderId="10" xfId="5" applyNumberFormat="1" applyFont="1" applyBorder="1" applyAlignment="1">
      <alignment horizontal="right" vertical="center" wrapText="1" readingOrder="2"/>
    </xf>
    <xf numFmtId="170" fontId="23" fillId="0" borderId="10" xfId="5" applyNumberFormat="1" applyFont="1" applyFill="1" applyBorder="1" applyAlignment="1">
      <alignment horizontal="right" vertical="center" wrapText="1" readingOrder="2"/>
    </xf>
    <xf numFmtId="170" fontId="23" fillId="0" borderId="10" xfId="5" applyNumberFormat="1" applyFont="1" applyFill="1" applyBorder="1" applyAlignment="1">
      <alignment vertical="center" wrapText="1"/>
    </xf>
    <xf numFmtId="170" fontId="39" fillId="0" borderId="10" xfId="5" applyNumberFormat="1" applyFont="1" applyBorder="1" applyAlignment="1">
      <alignment horizontal="left" vertical="center" wrapText="1" readingOrder="1"/>
    </xf>
    <xf numFmtId="175" fontId="53" fillId="0" borderId="8" xfId="1" applyNumberFormat="1" applyFont="1" applyBorder="1" applyAlignment="1">
      <alignment horizontal="right" vertical="center" wrapText="1"/>
    </xf>
    <xf numFmtId="0" fontId="23" fillId="0" borderId="10" xfId="0" applyFont="1" applyFill="1" applyBorder="1" applyAlignment="1">
      <alignment horizontal="right" vertical="center" wrapText="1" readingOrder="2"/>
    </xf>
    <xf numFmtId="170" fontId="39" fillId="0" borderId="10" xfId="5" applyNumberFormat="1" applyFont="1" applyBorder="1" applyAlignment="1">
      <alignment horizontal="right" vertical="center" wrapText="1" readingOrder="2"/>
    </xf>
    <xf numFmtId="170" fontId="39" fillId="0" borderId="10" xfId="5" applyNumberFormat="1" applyFont="1" applyBorder="1" applyAlignment="1">
      <alignment vertical="center" wrapText="1"/>
    </xf>
    <xf numFmtId="170" fontId="23" fillId="3" borderId="11" xfId="0" applyNumberFormat="1" applyFont="1" applyFill="1" applyBorder="1"/>
    <xf numFmtId="0" fontId="35" fillId="0" borderId="7" xfId="0" applyFont="1" applyFill="1" applyBorder="1"/>
    <xf numFmtId="165" fontId="39" fillId="0" borderId="0" xfId="0" applyNumberFormat="1" applyFont="1" applyFill="1" applyBorder="1"/>
    <xf numFmtId="165" fontId="39" fillId="0" borderId="0" xfId="0" applyNumberFormat="1" applyFont="1" applyFill="1"/>
    <xf numFmtId="0" fontId="39" fillId="0" borderId="0" xfId="0" applyFont="1" applyFill="1" applyAlignment="1">
      <alignment wrapText="1"/>
    </xf>
    <xf numFmtId="0" fontId="23" fillId="13" borderId="4" xfId="0" applyFont="1" applyFill="1" applyBorder="1" applyAlignment="1">
      <alignment horizontal="right" vertical="center" wrapText="1" readingOrder="1"/>
    </xf>
    <xf numFmtId="170" fontId="39" fillId="0" borderId="10" xfId="1" applyNumberFormat="1" applyFont="1" applyBorder="1" applyAlignment="1">
      <alignment horizontal="right" vertical="center" wrapText="1"/>
    </xf>
    <xf numFmtId="170" fontId="69" fillId="0" borderId="26" xfId="1" applyNumberFormat="1" applyFont="1" applyBorder="1" applyAlignment="1">
      <alignment horizontal="right" vertical="center" wrapText="1"/>
    </xf>
    <xf numFmtId="170" fontId="69" fillId="0" borderId="10" xfId="1" applyNumberFormat="1" applyFont="1" applyFill="1" applyBorder="1"/>
    <xf numFmtId="173" fontId="39" fillId="0" borderId="0" xfId="0" applyNumberFormat="1" applyFont="1"/>
    <xf numFmtId="170" fontId="44" fillId="0" borderId="26" xfId="1" applyNumberFormat="1" applyFont="1" applyBorder="1" applyAlignment="1">
      <alignment horizontal="right" vertical="center" wrapText="1"/>
    </xf>
    <xf numFmtId="170" fontId="44" fillId="0" borderId="26" xfId="1" applyNumberFormat="1" applyFont="1" applyFill="1" applyBorder="1" applyAlignment="1">
      <alignment horizontal="right" vertical="center" wrapText="1" readingOrder="2"/>
    </xf>
    <xf numFmtId="170" fontId="23" fillId="3" borderId="22" xfId="5" applyNumberFormat="1" applyFont="1" applyFill="1" applyBorder="1" applyAlignment="1">
      <alignment wrapText="1"/>
    </xf>
    <xf numFmtId="170" fontId="39" fillId="3" borderId="22" xfId="5" applyNumberFormat="1" applyFont="1" applyFill="1" applyBorder="1"/>
    <xf numFmtId="0" fontId="23" fillId="3" borderId="22" xfId="3" applyFont="1" applyFill="1" applyBorder="1"/>
    <xf numFmtId="170" fontId="23" fillId="3" borderId="23" xfId="0" applyNumberFormat="1" applyFont="1" applyFill="1" applyBorder="1"/>
    <xf numFmtId="170" fontId="44" fillId="3" borderId="8" xfId="5" applyNumberFormat="1" applyFont="1" applyFill="1" applyBorder="1"/>
    <xf numFmtId="170" fontId="23" fillId="3" borderId="8" xfId="0" applyNumberFormat="1" applyFont="1" applyFill="1" applyBorder="1"/>
    <xf numFmtId="0" fontId="23" fillId="3" borderId="8" xfId="3" applyFont="1" applyFill="1" applyBorder="1"/>
    <xf numFmtId="0" fontId="44" fillId="3" borderId="8" xfId="0" applyFont="1" applyFill="1" applyBorder="1" applyAlignment="1"/>
    <xf numFmtId="170" fontId="23" fillId="3" borderId="12" xfId="0" applyNumberFormat="1" applyFont="1" applyFill="1" applyBorder="1"/>
    <xf numFmtId="0" fontId="29" fillId="0" borderId="0" xfId="0" applyFont="1" applyFill="1" applyBorder="1" applyAlignment="1">
      <alignment horizontal="right" vertical="center" readingOrder="1"/>
    </xf>
    <xf numFmtId="170" fontId="23" fillId="0" borderId="0" xfId="0" applyNumberFormat="1" applyFont="1" applyBorder="1"/>
    <xf numFmtId="0" fontId="23" fillId="0" borderId="0" xfId="0" applyFont="1" applyFill="1" applyBorder="1"/>
    <xf numFmtId="0" fontId="29" fillId="0" borderId="11" xfId="0" applyFont="1" applyFill="1" applyBorder="1" applyAlignment="1">
      <alignment vertical="center" readingOrder="1"/>
    </xf>
    <xf numFmtId="0" fontId="29" fillId="0" borderId="23" xfId="0" applyFont="1" applyFill="1" applyBorder="1" applyAlignment="1">
      <alignment vertical="center" readingOrder="1"/>
    </xf>
    <xf numFmtId="0" fontId="69" fillId="0" borderId="60" xfId="0" applyFont="1" applyFill="1" applyBorder="1"/>
    <xf numFmtId="0" fontId="69" fillId="0" borderId="10" xfId="0" applyFont="1" applyFill="1" applyBorder="1" applyAlignment="1">
      <alignment wrapText="1"/>
    </xf>
    <xf numFmtId="0" fontId="39" fillId="0" borderId="8" xfId="0" applyFont="1" applyBorder="1" applyAlignment="1">
      <alignment wrapText="1"/>
    </xf>
    <xf numFmtId="166" fontId="44" fillId="0" borderId="0" xfId="1" applyNumberFormat="1" applyFont="1" applyFill="1" applyBorder="1"/>
    <xf numFmtId="166" fontId="44" fillId="0" borderId="11" xfId="1" applyNumberFormat="1" applyFont="1" applyBorder="1"/>
    <xf numFmtId="0" fontId="77" fillId="0" borderId="0" xfId="0" applyFont="1" applyAlignment="1">
      <alignment wrapText="1"/>
    </xf>
    <xf numFmtId="0" fontId="76" fillId="0" borderId="0" xfId="0" applyFont="1" applyFill="1" applyAlignment="1">
      <alignment horizontal="center" wrapText="1"/>
    </xf>
    <xf numFmtId="0" fontId="43" fillId="12" borderId="10" xfId="0" applyFont="1" applyFill="1" applyBorder="1" applyAlignment="1">
      <alignment horizontal="right" vertical="center" wrapText="1" readingOrder="2"/>
    </xf>
    <xf numFmtId="166" fontId="40" fillId="0" borderId="10" xfId="1" applyNumberFormat="1" applyFont="1" applyFill="1" applyBorder="1" applyAlignment="1">
      <alignment horizontal="right" vertical="center" wrapText="1" readingOrder="1"/>
    </xf>
    <xf numFmtId="165" fontId="29" fillId="0" borderId="10" xfId="1" applyNumberFormat="1" applyFont="1" applyFill="1" applyBorder="1" applyAlignment="1">
      <alignment wrapText="1"/>
    </xf>
    <xf numFmtId="166" fontId="39" fillId="0" borderId="10" xfId="0" applyNumberFormat="1" applyFont="1" applyBorder="1" applyAlignment="1">
      <alignment vertical="center"/>
    </xf>
    <xf numFmtId="0" fontId="41" fillId="16" borderId="20" xfId="0" applyFont="1" applyFill="1" applyBorder="1" applyAlignment="1">
      <alignment horizontal="right" vertical="center" readingOrder="2"/>
    </xf>
    <xf numFmtId="0" fontId="77" fillId="0" borderId="0" xfId="0" applyFont="1" applyAlignment="1"/>
    <xf numFmtId="0" fontId="42" fillId="0" borderId="10" xfId="0" applyFont="1" applyFill="1" applyBorder="1" applyAlignment="1">
      <alignment horizontal="right" vertical="center" wrapText="1" readingOrder="2"/>
    </xf>
    <xf numFmtId="166" fontId="42" fillId="0" borderId="10" xfId="1" applyNumberFormat="1" applyFont="1" applyFill="1" applyBorder="1" applyAlignment="1">
      <alignment vertical="center" wrapText="1" readingOrder="2"/>
    </xf>
    <xf numFmtId="166" fontId="42" fillId="0" borderId="10" xfId="1" applyNumberFormat="1" applyFont="1" applyFill="1" applyBorder="1" applyAlignment="1">
      <alignment horizontal="right" vertical="center" wrapText="1" readingOrder="2"/>
    </xf>
    <xf numFmtId="0" fontId="35" fillId="0" borderId="10" xfId="0" applyFont="1" applyBorder="1"/>
    <xf numFmtId="0" fontId="35" fillId="0" borderId="11" xfId="0" applyFont="1" applyBorder="1"/>
    <xf numFmtId="166" fontId="69" fillId="0" borderId="10" xfId="1" applyNumberFormat="1" applyFont="1" applyFill="1" applyBorder="1" applyAlignment="1">
      <alignment wrapText="1"/>
    </xf>
    <xf numFmtId="166" fontId="69" fillId="0" borderId="11" xfId="1" applyNumberFormat="1" applyFont="1" applyFill="1" applyBorder="1" applyAlignment="1">
      <alignment wrapText="1"/>
    </xf>
    <xf numFmtId="166" fontId="40" fillId="0" borderId="10" xfId="1" applyNumberFormat="1" applyFont="1" applyFill="1" applyBorder="1" applyAlignment="1">
      <alignment vertical="center" wrapText="1" readingOrder="2"/>
    </xf>
    <xf numFmtId="166" fontId="40" fillId="0" borderId="10" xfId="1" applyNumberFormat="1" applyFont="1" applyFill="1" applyBorder="1" applyAlignment="1">
      <alignment horizontal="right" vertical="center" wrapText="1" readingOrder="2"/>
    </xf>
    <xf numFmtId="166" fontId="39" fillId="0" borderId="10" xfId="0" applyNumberFormat="1" applyFont="1" applyBorder="1"/>
    <xf numFmtId="166" fontId="39" fillId="0" borderId="11" xfId="0" applyNumberFormat="1" applyFont="1" applyBorder="1"/>
    <xf numFmtId="170" fontId="35" fillId="0" borderId="0" xfId="0" applyNumberFormat="1" applyFont="1" applyFill="1"/>
    <xf numFmtId="166" fontId="39" fillId="0" borderId="10" xfId="0" applyNumberFormat="1" applyFont="1" applyBorder="1" applyAlignment="1">
      <alignment wrapText="1"/>
    </xf>
    <xf numFmtId="166" fontId="40" fillId="0" borderId="10" xfId="1" applyNumberFormat="1" applyFont="1" applyBorder="1" applyAlignment="1">
      <alignment horizontal="right" vertical="center" wrapText="1" readingOrder="2"/>
    </xf>
    <xf numFmtId="166" fontId="40" fillId="0" borderId="10" xfId="1" applyNumberFormat="1" applyFont="1" applyBorder="1" applyAlignment="1">
      <alignment horizontal="right" vertical="center" readingOrder="2"/>
    </xf>
    <xf numFmtId="166" fontId="40" fillId="0" borderId="10" xfId="1" applyNumberFormat="1" applyFont="1" applyBorder="1" applyAlignment="1">
      <alignment horizontal="right" readingOrder="2"/>
    </xf>
    <xf numFmtId="0" fontId="78" fillId="0" borderId="10" xfId="0" applyFont="1" applyBorder="1" applyAlignment="1">
      <alignment horizontal="right" vertical="center" wrapText="1" readingOrder="2"/>
    </xf>
    <xf numFmtId="170" fontId="39" fillId="3" borderId="10" xfId="5" applyNumberFormat="1" applyFont="1" applyFill="1" applyBorder="1" applyAlignment="1">
      <alignment wrapText="1"/>
    </xf>
    <xf numFmtId="0" fontId="29" fillId="0" borderId="0" xfId="0" applyFont="1" applyFill="1" applyBorder="1" applyAlignment="1">
      <alignment horizontal="right" vertical="center" wrapText="1" readingOrder="1"/>
    </xf>
    <xf numFmtId="170" fontId="23" fillId="0" borderId="0" xfId="3" applyNumberFormat="1" applyFont="1" applyFill="1" applyBorder="1"/>
    <xf numFmtId="170" fontId="29" fillId="0" borderId="10" xfId="3" applyNumberFormat="1" applyFont="1" applyFill="1" applyBorder="1" applyAlignment="1"/>
    <xf numFmtId="0" fontId="39" fillId="0" borderId="8" xfId="0" applyFont="1" applyBorder="1" applyAlignment="1"/>
    <xf numFmtId="0" fontId="35" fillId="0" borderId="0" xfId="0" applyFont="1" applyFill="1" applyBorder="1"/>
    <xf numFmtId="0" fontId="23" fillId="13" borderId="21" xfId="3" applyFont="1" applyFill="1" applyBorder="1" applyAlignment="1">
      <alignment horizontal="right" vertical="center" wrapText="1" readingOrder="1"/>
    </xf>
    <xf numFmtId="0" fontId="23" fillId="0" borderId="21" xfId="0" applyFont="1" applyBorder="1" applyAlignment="1">
      <alignment horizontal="center"/>
    </xf>
    <xf numFmtId="0" fontId="23" fillId="3" borderId="21" xfId="0" applyFont="1" applyFill="1" applyBorder="1"/>
    <xf numFmtId="0" fontId="44" fillId="0" borderId="10" xfId="0" applyFont="1" applyBorder="1" applyAlignment="1">
      <alignment wrapText="1" readingOrder="2"/>
    </xf>
    <xf numFmtId="174" fontId="41" fillId="0" borderId="10" xfId="4" applyNumberFormat="1" applyFont="1" applyFill="1" applyBorder="1" applyAlignment="1">
      <alignment horizontal="right" vertical="center" wrapText="1" readingOrder="1"/>
    </xf>
    <xf numFmtId="0" fontId="44" fillId="0" borderId="10" xfId="0" applyFont="1" applyBorder="1" applyAlignment="1">
      <alignment horizontal="center" vertical="center" wrapText="1"/>
    </xf>
    <xf numFmtId="0" fontId="69" fillId="0" borderId="4" xfId="0" applyFont="1" applyBorder="1"/>
    <xf numFmtId="0" fontId="23" fillId="13" borderId="5" xfId="3" applyFont="1" applyFill="1" applyBorder="1" applyAlignment="1">
      <alignment horizontal="right" vertical="center" wrapText="1" readingOrder="2"/>
    </xf>
    <xf numFmtId="0" fontId="35" fillId="0" borderId="10" xfId="0" applyFont="1" applyBorder="1" applyAlignment="1">
      <alignment wrapText="1"/>
    </xf>
    <xf numFmtId="174" fontId="41" fillId="0" borderId="10" xfId="4" applyNumberFormat="1" applyFont="1" applyBorder="1" applyAlignment="1">
      <alignment horizontal="right" vertical="center" wrapText="1" readingOrder="1"/>
    </xf>
    <xf numFmtId="0" fontId="35" fillId="0" borderId="60" xfId="0" applyFont="1" applyFill="1" applyBorder="1"/>
    <xf numFmtId="0" fontId="39" fillId="0" borderId="10" xfId="0" applyFont="1" applyBorder="1" applyAlignment="1">
      <alignment horizontal="right" readingOrder="2"/>
    </xf>
    <xf numFmtId="0" fontId="69" fillId="0" borderId="10" xfId="0" applyFont="1" applyBorder="1" applyAlignment="1">
      <alignment horizontal="right" readingOrder="2"/>
    </xf>
    <xf numFmtId="0" fontId="69" fillId="0" borderId="10" xfId="0" applyFont="1" applyBorder="1"/>
    <xf numFmtId="0" fontId="39" fillId="0" borderId="60" xfId="0" applyFont="1" applyFill="1" applyBorder="1"/>
    <xf numFmtId="0" fontId="44" fillId="0" borderId="10" xfId="0" applyFont="1" applyBorder="1" applyAlignment="1">
      <alignment horizontal="right" readingOrder="2"/>
    </xf>
    <xf numFmtId="174" fontId="41" fillId="0" borderId="11" xfId="4" applyNumberFormat="1" applyFont="1" applyBorder="1" applyAlignment="1">
      <alignment horizontal="right" vertical="center" wrapText="1" readingOrder="1"/>
    </xf>
    <xf numFmtId="0" fontId="39" fillId="0" borderId="10" xfId="0" applyFont="1" applyBorder="1" applyAlignment="1">
      <alignment horizontal="right" wrapText="1" readingOrder="2"/>
    </xf>
    <xf numFmtId="0" fontId="44" fillId="0" borderId="10" xfId="0" applyFont="1" applyBorder="1" applyAlignment="1">
      <alignment horizontal="right" wrapText="1" readingOrder="2"/>
    </xf>
    <xf numFmtId="0" fontId="39" fillId="0" borderId="65" xfId="0" applyFont="1" applyFill="1" applyBorder="1"/>
    <xf numFmtId="174" fontId="41" fillId="0" borderId="10" xfId="4" applyNumberFormat="1" applyFont="1" applyBorder="1" applyAlignment="1">
      <alignment horizontal="center" wrapText="1" readingOrder="1"/>
    </xf>
    <xf numFmtId="165" fontId="41" fillId="0" borderId="10" xfId="4" applyNumberFormat="1" applyFont="1" applyBorder="1" applyAlignment="1">
      <alignment horizontal="right" vertical="center" wrapText="1" readingOrder="1"/>
    </xf>
    <xf numFmtId="0" fontId="35" fillId="0" borderId="35" xfId="0" applyFont="1" applyFill="1" applyBorder="1"/>
    <xf numFmtId="0" fontId="39" fillId="0" borderId="22" xfId="0" applyFont="1" applyFill="1" applyBorder="1" applyAlignment="1"/>
    <xf numFmtId="43" fontId="44" fillId="0" borderId="23" xfId="1" applyFont="1" applyBorder="1"/>
    <xf numFmtId="0" fontId="69" fillId="0" borderId="7" xfId="0" applyFont="1" applyFill="1" applyBorder="1"/>
    <xf numFmtId="174" fontId="41" fillId="0" borderId="8" xfId="4" applyNumberFormat="1" applyFont="1" applyBorder="1" applyAlignment="1">
      <alignment horizontal="right" vertical="center" wrapText="1" readingOrder="1"/>
    </xf>
    <xf numFmtId="0" fontId="44" fillId="3" borderId="8" xfId="0" applyFont="1" applyFill="1" applyBorder="1"/>
    <xf numFmtId="0" fontId="44" fillId="0" borderId="23" xfId="0" applyFont="1" applyBorder="1"/>
    <xf numFmtId="0" fontId="69" fillId="0" borderId="0" xfId="0" applyFont="1" applyFill="1" applyBorder="1"/>
    <xf numFmtId="0" fontId="23" fillId="0" borderId="0" xfId="0" applyFont="1" applyBorder="1" applyAlignment="1">
      <alignment horizontal="center"/>
    </xf>
    <xf numFmtId="0" fontId="23" fillId="0" borderId="5" xfId="0" applyFont="1" applyBorder="1" applyAlignment="1">
      <alignment horizontal="center" wrapText="1"/>
    </xf>
    <xf numFmtId="0" fontId="23" fillId="3" borderId="5" xfId="0" applyFont="1" applyFill="1" applyBorder="1" applyAlignment="1">
      <alignment wrapText="1"/>
    </xf>
    <xf numFmtId="43" fontId="23" fillId="0" borderId="10" xfId="1" applyFont="1" applyFill="1" applyBorder="1" applyAlignment="1">
      <alignment horizontal="left" vertical="center" wrapText="1"/>
    </xf>
    <xf numFmtId="0" fontId="29" fillId="0" borderId="10" xfId="0" applyFont="1" applyFill="1" applyBorder="1" applyAlignment="1">
      <alignment wrapText="1"/>
    </xf>
    <xf numFmtId="0" fontId="29" fillId="0" borderId="10" xfId="0" applyFont="1" applyFill="1" applyBorder="1"/>
    <xf numFmtId="0" fontId="29" fillId="0" borderId="11" xfId="0" applyFont="1" applyFill="1" applyBorder="1" applyAlignment="1">
      <alignment horizontal="center" vertical="center" wrapText="1"/>
    </xf>
    <xf numFmtId="166" fontId="29" fillId="0" borderId="10" xfId="1" applyNumberFormat="1" applyFont="1" applyFill="1" applyBorder="1" applyAlignment="1">
      <alignment horizontal="center" vertical="center" wrapText="1"/>
    </xf>
    <xf numFmtId="170" fontId="23" fillId="3" borderId="9" xfId="5" applyNumberFormat="1" applyFont="1" applyFill="1" applyBorder="1" applyAlignment="1">
      <alignment wrapText="1"/>
    </xf>
    <xf numFmtId="170" fontId="23" fillId="3" borderId="9" xfId="5" applyNumberFormat="1" applyFont="1" applyFill="1" applyBorder="1" applyAlignment="1"/>
    <xf numFmtId="170" fontId="44" fillId="0" borderId="0" xfId="5" applyNumberFormat="1" applyFont="1" applyFill="1" applyBorder="1"/>
    <xf numFmtId="170" fontId="23" fillId="0" borderId="0" xfId="3" applyNumberFormat="1" applyFont="1" applyFill="1" applyBorder="1" applyAlignment="1">
      <alignment horizontal="center" wrapText="1"/>
    </xf>
    <xf numFmtId="0" fontId="44" fillId="0" borderId="0" xfId="0" applyFont="1" applyFill="1" applyBorder="1"/>
    <xf numFmtId="0" fontId="69" fillId="0" borderId="58" xfId="0" applyFont="1" applyFill="1" applyBorder="1"/>
    <xf numFmtId="0" fontId="44" fillId="0" borderId="8" xfId="0" applyFont="1" applyFill="1" applyBorder="1"/>
    <xf numFmtId="0" fontId="23" fillId="0" borderId="8" xfId="0" applyFont="1" applyFill="1" applyBorder="1"/>
    <xf numFmtId="0" fontId="23" fillId="0" borderId="12" xfId="0" applyFont="1" applyFill="1" applyBorder="1" applyAlignment="1">
      <alignment horizontal="center" vertical="center" wrapText="1"/>
    </xf>
    <xf numFmtId="0" fontId="23" fillId="0" borderId="10" xfId="0" applyFont="1" applyFill="1" applyBorder="1" applyAlignment="1">
      <alignment horizontal="left" vertical="center" wrapText="1"/>
    </xf>
    <xf numFmtId="170" fontId="23" fillId="3" borderId="10" xfId="5" applyNumberFormat="1" applyFont="1" applyFill="1" applyBorder="1"/>
    <xf numFmtId="170" fontId="69" fillId="3" borderId="10" xfId="5" applyNumberFormat="1" applyFont="1" applyFill="1" applyBorder="1"/>
    <xf numFmtId="0" fontId="69" fillId="3" borderId="10" xfId="0" applyFont="1" applyFill="1" applyBorder="1"/>
    <xf numFmtId="170" fontId="23" fillId="0" borderId="23" xfId="0" applyNumberFormat="1" applyFont="1" applyFill="1" applyBorder="1"/>
    <xf numFmtId="9" fontId="39" fillId="0" borderId="10" xfId="2" applyFont="1" applyBorder="1"/>
    <xf numFmtId="170" fontId="29" fillId="0" borderId="10" xfId="0" applyNumberFormat="1" applyFont="1" applyBorder="1"/>
    <xf numFmtId="170" fontId="23" fillId="0" borderId="10" xfId="0" applyNumberFormat="1" applyFont="1" applyBorder="1"/>
    <xf numFmtId="166" fontId="39" fillId="0" borderId="11" xfId="1" applyNumberFormat="1" applyFont="1" applyBorder="1"/>
    <xf numFmtId="0" fontId="35" fillId="13" borderId="15" xfId="0" applyFont="1" applyFill="1" applyBorder="1" applyAlignment="1"/>
    <xf numFmtId="0" fontId="23" fillId="13" borderId="16" xfId="0" applyFont="1" applyFill="1" applyBorder="1" applyAlignment="1">
      <alignment horizontal="right" vertical="center"/>
    </xf>
    <xf numFmtId="0" fontId="35" fillId="13" borderId="16" xfId="0" applyFont="1" applyFill="1" applyBorder="1" applyAlignment="1"/>
    <xf numFmtId="166" fontId="66" fillId="13" borderId="16" xfId="1" applyNumberFormat="1" applyFont="1" applyFill="1" applyBorder="1" applyAlignment="1">
      <alignment horizontal="center"/>
    </xf>
    <xf numFmtId="0" fontId="34" fillId="0" borderId="0" xfId="0" applyFont="1" applyAlignment="1">
      <alignment horizontal="center" vertical="center" wrapText="1"/>
    </xf>
    <xf numFmtId="0" fontId="46" fillId="0" borderId="0" xfId="0" applyFont="1" applyFill="1" applyBorder="1" applyAlignment="1">
      <alignment horizontal="center" vertical="center" wrapText="1"/>
    </xf>
    <xf numFmtId="43" fontId="34" fillId="0" borderId="0" xfId="1" applyFont="1" applyAlignment="1">
      <alignment horizontal="center" vertical="center" wrapText="1"/>
    </xf>
    <xf numFmtId="0" fontId="59" fillId="13" borderId="5" xfId="3" applyFont="1" applyFill="1" applyBorder="1" applyAlignment="1">
      <alignment horizontal="right" vertical="center" wrapText="1"/>
    </xf>
    <xf numFmtId="0" fontId="34" fillId="0" borderId="0" xfId="0" applyFont="1" applyFill="1" applyAlignment="1">
      <alignment horizontal="center" vertical="center" wrapText="1"/>
    </xf>
    <xf numFmtId="43" fontId="55" fillId="0" borderId="0" xfId="1" applyFont="1" applyFill="1" applyAlignment="1"/>
    <xf numFmtId="166" fontId="34" fillId="0" borderId="0" xfId="1" applyNumberFormat="1" applyFont="1" applyAlignment="1">
      <alignment horizontal="center" vertical="center" wrapText="1"/>
    </xf>
    <xf numFmtId="0" fontId="51" fillId="0" borderId="55" xfId="0" applyFont="1" applyFill="1" applyBorder="1" applyAlignment="1">
      <alignment vertical="center" readingOrder="1"/>
    </xf>
    <xf numFmtId="0" fontId="79" fillId="0" borderId="55" xfId="0" applyFont="1" applyFill="1" applyBorder="1" applyAlignment="1">
      <alignment vertical="center"/>
    </xf>
    <xf numFmtId="43" fontId="34" fillId="0" borderId="0" xfId="1" applyFont="1" applyAlignment="1"/>
    <xf numFmtId="0" fontId="34" fillId="0" borderId="0" xfId="0" applyFont="1" applyFill="1" applyAlignment="1"/>
    <xf numFmtId="170" fontId="34" fillId="0" borderId="0" xfId="5" applyNumberFormat="1" applyFont="1" applyFill="1" applyBorder="1" applyAlignment="1"/>
    <xf numFmtId="0" fontId="25" fillId="0" borderId="0" xfId="0" applyFont="1" applyFill="1" applyBorder="1" applyAlignment="1">
      <alignment horizontal="right" vertical="center"/>
    </xf>
    <xf numFmtId="43" fontId="34" fillId="0" borderId="0" xfId="1" applyFont="1" applyFill="1" applyBorder="1" applyAlignment="1"/>
    <xf numFmtId="170" fontId="59" fillId="0" borderId="0" xfId="0" applyNumberFormat="1" applyFont="1" applyFill="1" applyBorder="1" applyAlignment="1"/>
    <xf numFmtId="0" fontId="55" fillId="0" borderId="4" xfId="0" applyFont="1" applyBorder="1" applyAlignment="1"/>
    <xf numFmtId="0" fontId="59" fillId="0" borderId="5" xfId="0" applyFont="1" applyBorder="1" applyAlignment="1">
      <alignment horizontal="center"/>
    </xf>
    <xf numFmtId="0" fontId="34" fillId="3" borderId="5" xfId="0" applyFont="1" applyFill="1" applyBorder="1" applyAlignment="1"/>
    <xf numFmtId="0" fontId="72" fillId="3" borderId="5" xfId="0" applyFont="1" applyFill="1" applyBorder="1"/>
    <xf numFmtId="0" fontId="59" fillId="3" borderId="9" xfId="0" applyFont="1" applyFill="1" applyBorder="1" applyAlignment="1">
      <alignment wrapText="1"/>
    </xf>
    <xf numFmtId="0" fontId="59" fillId="3" borderId="10" xfId="0" applyFont="1" applyFill="1" applyBorder="1" applyAlignment="1">
      <alignment wrapText="1"/>
    </xf>
    <xf numFmtId="43" fontId="59" fillId="3" borderId="10" xfId="1" applyFont="1" applyFill="1" applyBorder="1" applyAlignment="1">
      <alignment wrapText="1"/>
    </xf>
    <xf numFmtId="0" fontId="59" fillId="3" borderId="11" xfId="0" applyFont="1" applyFill="1" applyBorder="1" applyAlignment="1">
      <alignment wrapText="1"/>
    </xf>
    <xf numFmtId="0" fontId="59" fillId="3" borderId="10" xfId="0" applyFont="1" applyFill="1" applyBorder="1" applyAlignment="1">
      <alignment horizontal="center" vertical="center" wrapText="1"/>
    </xf>
    <xf numFmtId="43" fontId="59" fillId="3" borderId="10" xfId="1" applyFont="1" applyFill="1" applyBorder="1" applyAlignment="1">
      <alignment horizontal="center" vertical="center" wrapText="1"/>
    </xf>
    <xf numFmtId="166" fontId="59" fillId="3" borderId="10" xfId="1" applyNumberFormat="1" applyFont="1" applyFill="1" applyBorder="1" applyAlignment="1">
      <alignment horizontal="center" vertical="center" wrapText="1"/>
    </xf>
    <xf numFmtId="0" fontId="72" fillId="3" borderId="10" xfId="0" applyFont="1" applyFill="1" applyBorder="1"/>
    <xf numFmtId="0" fontId="59" fillId="3" borderId="10" xfId="0" applyFont="1" applyFill="1" applyBorder="1"/>
    <xf numFmtId="0" fontId="59" fillId="3" borderId="11" xfId="0" applyFont="1" applyFill="1" applyBorder="1" applyAlignment="1">
      <alignment horizontal="center" vertical="center" wrapText="1"/>
    </xf>
    <xf numFmtId="43" fontId="59" fillId="0" borderId="10" xfId="1" applyFont="1" applyFill="1" applyBorder="1" applyAlignment="1"/>
    <xf numFmtId="0" fontId="59" fillId="0" borderId="10" xfId="0" applyFont="1" applyFill="1" applyBorder="1" applyAlignment="1"/>
    <xf numFmtId="0" fontId="59" fillId="0" borderId="11" xfId="0" applyFont="1" applyFill="1" applyBorder="1" applyAlignment="1"/>
    <xf numFmtId="175" fontId="58" fillId="0" borderId="10" xfId="0" applyNumberFormat="1" applyFont="1" applyFill="1" applyBorder="1" applyAlignment="1"/>
    <xf numFmtId="43" fontId="74" fillId="0" borderId="10" xfId="1" applyFont="1" applyFill="1" applyBorder="1" applyAlignment="1"/>
    <xf numFmtId="166" fontId="74" fillId="0" borderId="10" xfId="1" applyNumberFormat="1" applyFont="1" applyFill="1" applyBorder="1" applyAlignment="1"/>
    <xf numFmtId="0" fontId="58" fillId="0" borderId="10" xfId="0" applyFont="1" applyFill="1" applyBorder="1" applyAlignment="1"/>
    <xf numFmtId="175" fontId="25" fillId="0" borderId="10" xfId="0" applyNumberFormat="1" applyFont="1" applyFill="1" applyBorder="1" applyAlignment="1"/>
    <xf numFmtId="43" fontId="25" fillId="0" borderId="10" xfId="1" applyFont="1" applyFill="1" applyBorder="1" applyAlignment="1"/>
    <xf numFmtId="166" fontId="51" fillId="0" borderId="10" xfId="1" applyNumberFormat="1" applyFont="1" applyFill="1" applyBorder="1" applyAlignment="1"/>
    <xf numFmtId="166" fontId="59" fillId="0" borderId="11" xfId="0" applyNumberFormat="1" applyFont="1" applyFill="1" applyBorder="1" applyAlignment="1"/>
    <xf numFmtId="175" fontId="34" fillId="0" borderId="0" xfId="0" applyNumberFormat="1" applyFont="1" applyFill="1" applyAlignment="1"/>
    <xf numFmtId="166" fontId="46" fillId="3" borderId="10" xfId="1" applyNumberFormat="1" applyFont="1" applyFill="1" applyBorder="1"/>
    <xf numFmtId="0" fontId="59" fillId="0" borderId="8" xfId="0" applyFont="1" applyFill="1" applyBorder="1" applyAlignment="1"/>
    <xf numFmtId="0" fontId="59" fillId="0" borderId="12" xfId="0" applyFont="1" applyFill="1" applyBorder="1" applyAlignment="1"/>
    <xf numFmtId="166" fontId="25" fillId="7" borderId="10" xfId="1" applyNumberFormat="1" applyFont="1" applyFill="1" applyBorder="1" applyAlignment="1"/>
    <xf numFmtId="170" fontId="55" fillId="3" borderId="22" xfId="0" applyNumberFormat="1" applyFont="1" applyFill="1" applyBorder="1" applyAlignment="1"/>
    <xf numFmtId="170" fontId="72" fillId="3" borderId="25" xfId="5" applyNumberFormat="1" applyFont="1" applyFill="1" applyBorder="1"/>
    <xf numFmtId="170" fontId="72" fillId="3" borderId="22" xfId="5" applyNumberFormat="1" applyFont="1" applyFill="1" applyBorder="1"/>
    <xf numFmtId="170" fontId="59" fillId="3" borderId="22" xfId="0" applyNumberFormat="1" applyFont="1" applyFill="1" applyBorder="1"/>
    <xf numFmtId="43" fontId="34" fillId="0" borderId="0" xfId="1" applyFont="1"/>
    <xf numFmtId="166" fontId="34" fillId="0" borderId="0" xfId="0" applyNumberFormat="1" applyFont="1"/>
    <xf numFmtId="166" fontId="72" fillId="0" borderId="0" xfId="1" applyNumberFormat="1" applyFont="1" applyFill="1" applyBorder="1"/>
    <xf numFmtId="166" fontId="59" fillId="0" borderId="0" xfId="1" applyNumberFormat="1" applyFont="1" applyFill="1" applyBorder="1"/>
    <xf numFmtId="166" fontId="72" fillId="0" borderId="0" xfId="1" applyNumberFormat="1" applyFont="1" applyFill="1" applyBorder="1" applyAlignment="1">
      <alignment horizontal="center" wrapText="1"/>
    </xf>
    <xf numFmtId="170" fontId="72" fillId="0" borderId="0" xfId="5" applyNumberFormat="1" applyFont="1" applyFill="1" applyBorder="1"/>
    <xf numFmtId="170" fontId="59" fillId="0" borderId="0" xfId="0" applyNumberFormat="1" applyFont="1" applyFill="1" applyBorder="1"/>
    <xf numFmtId="166" fontId="34" fillId="0" borderId="0" xfId="0" applyNumberFormat="1" applyFont="1" applyFill="1" applyAlignment="1"/>
    <xf numFmtId="43" fontId="34" fillId="0" borderId="0" xfId="1" applyFont="1" applyFill="1" applyAlignment="1"/>
    <xf numFmtId="0" fontId="55" fillId="0" borderId="4" xfId="0" applyFont="1" applyFill="1" applyBorder="1" applyAlignment="1"/>
    <xf numFmtId="0" fontId="59" fillId="13" borderId="5" xfId="3" applyFont="1" applyFill="1" applyBorder="1" applyAlignment="1">
      <alignment horizontal="right" vertical="center"/>
    </xf>
    <xf numFmtId="0" fontId="59" fillId="3" borderId="9" xfId="3" applyFont="1" applyFill="1" applyBorder="1" applyAlignment="1">
      <alignment wrapText="1"/>
    </xf>
    <xf numFmtId="0" fontId="59" fillId="3" borderId="10" xfId="3" applyFont="1" applyFill="1" applyBorder="1" applyAlignment="1">
      <alignment wrapText="1"/>
    </xf>
    <xf numFmtId="0" fontId="58" fillId="0" borderId="9" xfId="0" applyFont="1" applyFill="1" applyBorder="1" applyAlignment="1">
      <alignment horizontal="center" vertical="center"/>
    </xf>
    <xf numFmtId="0" fontId="59" fillId="0" borderId="10" xfId="0" applyFont="1" applyFill="1" applyBorder="1" applyAlignment="1">
      <alignment horizontal="right" vertical="center" wrapText="1"/>
    </xf>
    <xf numFmtId="0" fontId="58" fillId="0" borderId="10" xfId="0" applyFont="1" applyFill="1" applyBorder="1" applyAlignment="1">
      <alignment horizontal="center" vertical="center"/>
    </xf>
    <xf numFmtId="0" fontId="55" fillId="3" borderId="10" xfId="0" applyFont="1" applyFill="1" applyBorder="1" applyAlignment="1"/>
    <xf numFmtId="175" fontId="56" fillId="0" borderId="10" xfId="1" applyNumberFormat="1" applyFont="1" applyBorder="1" applyAlignment="1">
      <alignment vertical="center"/>
    </xf>
    <xf numFmtId="175" fontId="56" fillId="0" borderId="11" xfId="1" applyNumberFormat="1" applyFont="1" applyBorder="1" applyAlignment="1">
      <alignment vertical="center"/>
    </xf>
    <xf numFmtId="166" fontId="55" fillId="0" borderId="0" xfId="1" applyNumberFormat="1" applyFont="1" applyFill="1" applyAlignment="1"/>
    <xf numFmtId="0" fontId="55" fillId="0" borderId="0" xfId="0" applyFont="1" applyFill="1" applyAlignment="1"/>
    <xf numFmtId="0" fontId="59" fillId="12" borderId="10" xfId="0" applyFont="1" applyFill="1" applyBorder="1" applyAlignment="1">
      <alignment horizontal="right" vertical="center" wrapText="1"/>
    </xf>
    <xf numFmtId="175" fontId="71" fillId="12" borderId="10" xfId="1" applyNumberFormat="1" applyFont="1" applyFill="1" applyBorder="1" applyAlignment="1">
      <alignment vertical="center"/>
    </xf>
    <xf numFmtId="43" fontId="71" fillId="0" borderId="10" xfId="1" applyFont="1" applyFill="1" applyBorder="1" applyAlignment="1">
      <alignment vertical="center"/>
    </xf>
    <xf numFmtId="166" fontId="58" fillId="0" borderId="9" xfId="1" applyNumberFormat="1" applyFont="1" applyFill="1" applyBorder="1" applyAlignment="1">
      <alignment wrapText="1"/>
    </xf>
    <xf numFmtId="166" fontId="58" fillId="0" borderId="10" xfId="1" applyNumberFormat="1" applyFont="1" applyFill="1" applyBorder="1" applyAlignment="1">
      <alignment wrapText="1"/>
    </xf>
    <xf numFmtId="166" fontId="58" fillId="3" borderId="10" xfId="1" applyNumberFormat="1" applyFont="1" applyFill="1" applyBorder="1"/>
    <xf numFmtId="166" fontId="58" fillId="0" borderId="10" xfId="1" applyNumberFormat="1" applyFont="1" applyFill="1" applyBorder="1" applyAlignment="1">
      <alignment horizontal="center" vertical="center"/>
    </xf>
    <xf numFmtId="43" fontId="58" fillId="0" borderId="10" xfId="1" applyFont="1" applyFill="1" applyBorder="1" applyAlignment="1">
      <alignment horizontal="center" vertical="center"/>
    </xf>
    <xf numFmtId="175" fontId="71" fillId="0" borderId="10" xfId="1" applyNumberFormat="1" applyFont="1" applyFill="1" applyBorder="1" applyAlignment="1">
      <alignment vertical="center"/>
    </xf>
    <xf numFmtId="166" fontId="71" fillId="0" borderId="10" xfId="1" applyNumberFormat="1" applyFont="1" applyFill="1" applyBorder="1" applyAlignment="1">
      <alignment vertical="center"/>
    </xf>
    <xf numFmtId="175" fontId="51" fillId="0" borderId="10" xfId="1" applyNumberFormat="1" applyFont="1" applyBorder="1" applyAlignment="1">
      <alignment horizontal="right"/>
    </xf>
    <xf numFmtId="0" fontId="34" fillId="0" borderId="10" xfId="0" applyFont="1" applyFill="1" applyBorder="1" applyAlignment="1">
      <alignment horizontal="right" vertical="center" wrapText="1"/>
    </xf>
    <xf numFmtId="0" fontId="55" fillId="0" borderId="18" xfId="0" applyFont="1" applyFill="1" applyBorder="1" applyAlignment="1"/>
    <xf numFmtId="0" fontId="80" fillId="0" borderId="10" xfId="0" applyFont="1" applyFill="1" applyBorder="1" applyAlignment="1">
      <alignment horizontal="center" vertical="center"/>
    </xf>
    <xf numFmtId="0" fontId="59" fillId="3" borderId="21" xfId="0" applyFont="1" applyFill="1" applyBorder="1" applyAlignment="1">
      <alignment horizontal="center" vertical="center" wrapText="1"/>
    </xf>
    <xf numFmtId="0" fontId="55" fillId="0" borderId="0" xfId="0" applyFont="1" applyAlignment="1"/>
    <xf numFmtId="0" fontId="59" fillId="0" borderId="0" xfId="0" applyFont="1" applyFill="1" applyBorder="1" applyAlignment="1">
      <alignment horizontal="right" vertical="center"/>
    </xf>
    <xf numFmtId="0" fontId="55" fillId="0" borderId="9" xfId="0" applyFont="1" applyFill="1" applyBorder="1" applyAlignment="1"/>
    <xf numFmtId="175" fontId="71" fillId="0" borderId="11" xfId="1" applyNumberFormat="1" applyFont="1" applyFill="1" applyBorder="1" applyAlignment="1">
      <alignment vertical="center"/>
    </xf>
    <xf numFmtId="166" fontId="81" fillId="3" borderId="10" xfId="1" applyNumberFormat="1" applyFont="1" applyFill="1" applyBorder="1"/>
    <xf numFmtId="166" fontId="55" fillId="0" borderId="0" xfId="1" applyNumberFormat="1" applyFont="1" applyAlignment="1"/>
    <xf numFmtId="175" fontId="73" fillId="0" borderId="10" xfId="1" applyNumberFormat="1" applyFont="1" applyFill="1" applyBorder="1" applyAlignment="1">
      <alignment vertical="center"/>
    </xf>
    <xf numFmtId="175" fontId="73" fillId="0" borderId="11" xfId="1" applyNumberFormat="1" applyFont="1" applyFill="1" applyBorder="1" applyAlignment="1">
      <alignment vertical="center"/>
    </xf>
    <xf numFmtId="43" fontId="71" fillId="0" borderId="10" xfId="1" applyFont="1" applyFill="1" applyBorder="1" applyAlignment="1">
      <alignment horizontal="right"/>
    </xf>
    <xf numFmtId="175" fontId="82" fillId="0" borderId="10" xfId="1" applyNumberFormat="1" applyFont="1" applyFill="1" applyBorder="1" applyAlignment="1">
      <alignment horizontal="right"/>
    </xf>
    <xf numFmtId="175" fontId="34" fillId="0" borderId="10" xfId="0" applyNumberFormat="1" applyFont="1" applyFill="1" applyBorder="1" applyAlignment="1"/>
    <xf numFmtId="170" fontId="58" fillId="3" borderId="22" xfId="3" applyNumberFormat="1" applyFont="1" applyFill="1" applyBorder="1" applyAlignment="1"/>
    <xf numFmtId="170" fontId="58" fillId="3" borderId="23" xfId="3" applyNumberFormat="1" applyFont="1" applyFill="1" applyBorder="1" applyAlignment="1"/>
    <xf numFmtId="170" fontId="74" fillId="3" borderId="10" xfId="3" applyNumberFormat="1" applyFont="1" applyFill="1" applyBorder="1" applyAlignment="1"/>
    <xf numFmtId="0" fontId="51" fillId="0" borderId="0" xfId="0" applyFont="1"/>
    <xf numFmtId="166" fontId="59" fillId="3" borderId="10" xfId="1" applyNumberFormat="1" applyFont="1" applyFill="1" applyBorder="1" applyAlignment="1">
      <alignment wrapText="1"/>
    </xf>
    <xf numFmtId="166" fontId="58" fillId="14" borderId="10" xfId="1" applyNumberFormat="1" applyFont="1" applyFill="1" applyBorder="1" applyAlignment="1">
      <alignment horizontal="center" vertical="center"/>
    </xf>
    <xf numFmtId="175" fontId="74" fillId="0" borderId="10" xfId="0" applyNumberFormat="1" applyFont="1" applyFill="1" applyBorder="1" applyAlignment="1"/>
    <xf numFmtId="175" fontId="56" fillId="0" borderId="10" xfId="1" applyNumberFormat="1" applyFont="1" applyBorder="1" applyAlignment="1">
      <alignment horizontal="right"/>
    </xf>
    <xf numFmtId="175" fontId="51" fillId="0" borderId="10" xfId="0" applyNumberFormat="1" applyFont="1" applyFill="1" applyBorder="1" applyAlignment="1"/>
    <xf numFmtId="0" fontId="51" fillId="0" borderId="10" xfId="0" applyFont="1" applyFill="1" applyBorder="1" applyAlignment="1"/>
    <xf numFmtId="166" fontId="56" fillId="0" borderId="10" xfId="1" applyNumberFormat="1" applyFont="1" applyBorder="1" applyAlignment="1">
      <alignment horizontal="center"/>
    </xf>
    <xf numFmtId="175" fontId="56" fillId="0" borderId="8" xfId="1" applyNumberFormat="1" applyFont="1" applyBorder="1" applyAlignment="1">
      <alignment horizontal="right"/>
    </xf>
    <xf numFmtId="0" fontId="34" fillId="0" borderId="8" xfId="0" applyFont="1" applyFill="1" applyBorder="1" applyAlignment="1"/>
    <xf numFmtId="0" fontId="34" fillId="0" borderId="12" xfId="0" applyFont="1" applyFill="1" applyBorder="1" applyAlignment="1"/>
    <xf numFmtId="166" fontId="25" fillId="3" borderId="22" xfId="1" applyNumberFormat="1" applyFont="1" applyFill="1" applyBorder="1" applyAlignment="1"/>
    <xf numFmtId="43" fontId="73" fillId="0" borderId="10" xfId="1" applyFont="1" applyFill="1" applyBorder="1" applyAlignment="1"/>
    <xf numFmtId="175" fontId="51" fillId="0" borderId="11" xfId="1" applyNumberFormat="1" applyFont="1" applyBorder="1" applyAlignment="1">
      <alignment horizontal="right" vertical="center"/>
    </xf>
    <xf numFmtId="166" fontId="85" fillId="0" borderId="10" xfId="1" applyNumberFormat="1" applyFont="1" applyFill="1" applyBorder="1" applyAlignment="1">
      <alignment horizontal="center"/>
    </xf>
    <xf numFmtId="175" fontId="34" fillId="0" borderId="10" xfId="1" applyNumberFormat="1" applyFont="1" applyBorder="1" applyAlignment="1">
      <alignment horizontal="right"/>
    </xf>
    <xf numFmtId="170" fontId="73" fillId="0" borderId="10" xfId="5" applyNumberFormat="1" applyFont="1" applyFill="1" applyBorder="1" applyAlignment="1"/>
    <xf numFmtId="43" fontId="73" fillId="0" borderId="10" xfId="1" applyFont="1" applyFill="1" applyBorder="1" applyAlignment="1">
      <alignment horizontal="right" vertical="center"/>
    </xf>
    <xf numFmtId="0" fontId="55" fillId="0" borderId="0" xfId="0" applyFont="1" applyAlignment="1">
      <alignment vertical="center"/>
    </xf>
    <xf numFmtId="166" fontId="55" fillId="0" borderId="0" xfId="1" applyNumberFormat="1" applyFont="1" applyAlignment="1">
      <alignment vertical="center"/>
    </xf>
    <xf numFmtId="0" fontId="34" fillId="0" borderId="0" xfId="0" applyFont="1" applyBorder="1" applyAlignment="1">
      <alignment horizontal="right" vertical="center" wrapText="1"/>
    </xf>
    <xf numFmtId="43" fontId="34" fillId="0" borderId="0" xfId="1" applyFont="1" applyBorder="1" applyAlignment="1">
      <alignment horizontal="right" vertical="center" wrapText="1"/>
    </xf>
    <xf numFmtId="43" fontId="34" fillId="0" borderId="0" xfId="1" applyFont="1" applyAlignment="1">
      <alignment vertical="center"/>
    </xf>
    <xf numFmtId="175" fontId="73" fillId="0" borderId="10" xfId="0" applyNumberFormat="1" applyFont="1" applyFill="1" applyBorder="1" applyAlignment="1"/>
    <xf numFmtId="170" fontId="59" fillId="0" borderId="0" xfId="0" applyNumberFormat="1" applyFont="1" applyAlignment="1"/>
    <xf numFmtId="170" fontId="34" fillId="0" borderId="0" xfId="0" applyNumberFormat="1" applyFont="1" applyFill="1" applyAlignment="1"/>
    <xf numFmtId="166" fontId="34" fillId="0" borderId="0" xfId="1" applyNumberFormat="1" applyFont="1"/>
    <xf numFmtId="175" fontId="56" fillId="0" borderId="9" xfId="1" applyNumberFormat="1" applyFont="1" applyFill="1" applyBorder="1" applyAlignment="1">
      <alignment horizontal="center"/>
    </xf>
    <xf numFmtId="0" fontId="51" fillId="0" borderId="10" xfId="0" applyFont="1" applyFill="1" applyBorder="1" applyAlignment="1">
      <alignment horizontal="right" vertical="center" wrapText="1"/>
    </xf>
    <xf numFmtId="170" fontId="51" fillId="0" borderId="10" xfId="5" applyNumberFormat="1" applyFont="1" applyFill="1" applyBorder="1" applyAlignment="1">
      <alignment horizontal="right"/>
    </xf>
    <xf numFmtId="175" fontId="73" fillId="0" borderId="10" xfId="1" applyNumberFormat="1" applyFont="1" applyFill="1" applyBorder="1" applyAlignment="1">
      <alignment horizontal="right" vertical="center"/>
    </xf>
    <xf numFmtId="43" fontId="85" fillId="0" borderId="10" xfId="1" applyFont="1" applyFill="1" applyBorder="1" applyAlignment="1"/>
    <xf numFmtId="0" fontId="86" fillId="0" borderId="10" xfId="0" applyFont="1" applyFill="1" applyBorder="1" applyAlignment="1">
      <alignment horizontal="right" vertical="center" wrapText="1"/>
    </xf>
    <xf numFmtId="175" fontId="51" fillId="0" borderId="10" xfId="1" applyNumberFormat="1" applyFont="1" applyFill="1" applyBorder="1" applyAlignment="1">
      <alignment horizontal="center" vertical="center"/>
    </xf>
    <xf numFmtId="175" fontId="85" fillId="0" borderId="10" xfId="0" applyNumberFormat="1" applyFont="1" applyFill="1" applyBorder="1" applyAlignment="1"/>
    <xf numFmtId="175" fontId="51" fillId="0" borderId="10" xfId="1" applyNumberFormat="1" applyFont="1" applyBorder="1" applyAlignment="1">
      <alignment horizontal="center" vertical="center"/>
    </xf>
    <xf numFmtId="170" fontId="51" fillId="3" borderId="25" xfId="5" applyNumberFormat="1" applyFont="1" applyFill="1" applyBorder="1" applyAlignment="1"/>
    <xf numFmtId="170" fontId="58" fillId="3" borderId="22" xfId="5" applyNumberFormat="1" applyFont="1" applyFill="1" applyBorder="1" applyAlignment="1"/>
    <xf numFmtId="170" fontId="51" fillId="3" borderId="22" xfId="5" applyNumberFormat="1" applyFont="1" applyFill="1" applyBorder="1" applyAlignment="1"/>
    <xf numFmtId="43" fontId="51" fillId="3" borderId="22" xfId="1" applyFont="1" applyFill="1" applyBorder="1" applyAlignment="1"/>
    <xf numFmtId="170" fontId="58" fillId="3" borderId="22" xfId="0" applyNumberFormat="1" applyFont="1" applyFill="1" applyBorder="1" applyAlignment="1"/>
    <xf numFmtId="170" fontId="34" fillId="0" borderId="0" xfId="0" applyNumberFormat="1" applyFont="1"/>
    <xf numFmtId="0" fontId="34" fillId="0" borderId="0" xfId="0" applyFont="1" applyAlignment="1">
      <alignment wrapText="1"/>
    </xf>
    <xf numFmtId="0" fontId="55" fillId="0" borderId="4" xfId="0" applyFont="1" applyBorder="1" applyAlignment="1">
      <alignment wrapText="1"/>
    </xf>
    <xf numFmtId="0" fontId="58" fillId="0" borderId="5" xfId="0" applyFont="1" applyBorder="1" applyAlignment="1">
      <alignment horizontal="center" wrapText="1"/>
    </xf>
    <xf numFmtId="0" fontId="34" fillId="3" borderId="5" xfId="0" applyFont="1" applyFill="1" applyBorder="1" applyAlignment="1">
      <alignment wrapText="1"/>
    </xf>
    <xf numFmtId="166" fontId="34" fillId="0" borderId="0" xfId="1" applyNumberFormat="1" applyFont="1" applyAlignment="1">
      <alignment wrapText="1"/>
    </xf>
    <xf numFmtId="0" fontId="58" fillId="3" borderId="9" xfId="3" applyFont="1" applyFill="1" applyBorder="1" applyAlignment="1">
      <alignment horizontal="right" vertical="center" wrapText="1"/>
    </xf>
    <xf numFmtId="0" fontId="59" fillId="3" borderId="10" xfId="0" applyFont="1" applyFill="1" applyBorder="1" applyAlignment="1">
      <alignment horizontal="right" vertical="center" wrapText="1"/>
    </xf>
    <xf numFmtId="0" fontId="58" fillId="3" borderId="10" xfId="3" applyFont="1" applyFill="1" applyBorder="1" applyAlignment="1">
      <alignment horizontal="right" vertical="center" wrapText="1"/>
    </xf>
    <xf numFmtId="43" fontId="58" fillId="3" borderId="10" xfId="1" applyFont="1" applyFill="1" applyBorder="1" applyAlignment="1">
      <alignment horizontal="right" vertical="center" wrapText="1"/>
    </xf>
    <xf numFmtId="0" fontId="34" fillId="3" borderId="10" xfId="0" applyFont="1" applyFill="1" applyBorder="1" applyAlignment="1">
      <alignment horizontal="right" vertical="center" wrapText="1"/>
    </xf>
    <xf numFmtId="0" fontId="59" fillId="3" borderId="10" xfId="3" applyFont="1" applyFill="1" applyBorder="1" applyAlignment="1">
      <alignment horizontal="right" vertical="center" wrapText="1"/>
    </xf>
    <xf numFmtId="0" fontId="59" fillId="3" borderId="11" xfId="3" applyFont="1" applyFill="1" applyBorder="1" applyAlignment="1">
      <alignment horizontal="right" vertical="center" wrapText="1"/>
    </xf>
    <xf numFmtId="0" fontId="59" fillId="3" borderId="9" xfId="0" applyFont="1" applyFill="1" applyBorder="1" applyAlignment="1">
      <alignment horizontal="right" vertical="center" wrapText="1"/>
    </xf>
    <xf numFmtId="0" fontId="72" fillId="3" borderId="10" xfId="0" applyFont="1" applyFill="1" applyBorder="1" applyAlignment="1">
      <alignment horizontal="right" vertical="center"/>
    </xf>
    <xf numFmtId="0" fontId="59" fillId="3" borderId="10" xfId="0" applyFont="1" applyFill="1" applyBorder="1" applyAlignment="1">
      <alignment horizontal="right" vertical="center"/>
    </xf>
    <xf numFmtId="0" fontId="59" fillId="3" borderId="11" xfId="0" applyFont="1" applyFill="1" applyBorder="1" applyAlignment="1">
      <alignment horizontal="right" vertical="center" wrapText="1"/>
    </xf>
    <xf numFmtId="175" fontId="56" fillId="0" borderId="9" xfId="1" applyNumberFormat="1" applyFont="1" applyFill="1" applyBorder="1" applyAlignment="1">
      <alignment horizontal="right" vertical="center"/>
    </xf>
    <xf numFmtId="175" fontId="56" fillId="0" borderId="10" xfId="1" applyNumberFormat="1" applyFont="1" applyFill="1" applyBorder="1" applyAlignment="1">
      <alignment horizontal="right" vertical="center"/>
    </xf>
    <xf numFmtId="0" fontId="34" fillId="0" borderId="10" xfId="0" applyFont="1" applyFill="1" applyBorder="1" applyAlignment="1">
      <alignment horizontal="right" vertical="center"/>
    </xf>
    <xf numFmtId="175" fontId="51" fillId="0" borderId="9" xfId="1" applyNumberFormat="1" applyFont="1" applyBorder="1" applyAlignment="1">
      <alignment horizontal="right" vertical="center"/>
    </xf>
    <xf numFmtId="175" fontId="56" fillId="0" borderId="11" xfId="1" applyNumberFormat="1" applyFont="1" applyFill="1" applyBorder="1" applyAlignment="1">
      <alignment horizontal="right" vertical="center"/>
    </xf>
    <xf numFmtId="175" fontId="34" fillId="0" borderId="10" xfId="0" applyNumberFormat="1" applyFont="1" applyFill="1" applyBorder="1" applyAlignment="1">
      <alignment horizontal="right" vertical="center"/>
    </xf>
    <xf numFmtId="175" fontId="34" fillId="0" borderId="0" xfId="0" applyNumberFormat="1" applyFont="1" applyAlignment="1">
      <alignment horizontal="right" vertical="center"/>
    </xf>
    <xf numFmtId="175" fontId="57" fillId="0" borderId="9" xfId="1" applyNumberFormat="1" applyFont="1" applyBorder="1" applyAlignment="1">
      <alignment horizontal="right" vertical="center"/>
    </xf>
    <xf numFmtId="0" fontId="87" fillId="0" borderId="10" xfId="0" applyFont="1" applyFill="1" applyBorder="1" applyAlignment="1">
      <alignment horizontal="right" vertical="center" wrapText="1"/>
    </xf>
    <xf numFmtId="175" fontId="57" fillId="0" borderId="10" xfId="1" applyNumberFormat="1" applyFont="1" applyFill="1" applyBorder="1" applyAlignment="1">
      <alignment horizontal="right" vertical="center"/>
    </xf>
    <xf numFmtId="43" fontId="57" fillId="0" borderId="10" xfId="1" applyFont="1" applyFill="1" applyBorder="1" applyAlignment="1">
      <alignment horizontal="right" vertical="center"/>
    </xf>
    <xf numFmtId="0" fontId="57" fillId="3" borderId="10" xfId="0" applyFont="1" applyFill="1" applyBorder="1" applyAlignment="1">
      <alignment horizontal="right" vertical="center"/>
    </xf>
    <xf numFmtId="175" fontId="57" fillId="0" borderId="11" xfId="1" applyNumberFormat="1" applyFont="1" applyBorder="1" applyAlignment="1">
      <alignment horizontal="right" vertical="center"/>
    </xf>
    <xf numFmtId="166" fontId="57" fillId="0" borderId="0" xfId="1" applyNumberFormat="1" applyFont="1" applyAlignment="1">
      <alignment horizontal="right" vertical="center"/>
    </xf>
    <xf numFmtId="166" fontId="57" fillId="0" borderId="0" xfId="1" applyNumberFormat="1" applyFont="1" applyFill="1" applyAlignment="1">
      <alignment horizontal="right" vertical="center"/>
    </xf>
    <xf numFmtId="0" fontId="57" fillId="0" borderId="0" xfId="0" applyFont="1" applyFill="1" applyAlignment="1">
      <alignment horizontal="right" vertical="center"/>
    </xf>
    <xf numFmtId="0" fontId="25" fillId="0" borderId="10" xfId="0" applyFont="1" applyFill="1" applyBorder="1" applyAlignment="1">
      <alignment horizontal="right" vertical="center"/>
    </xf>
    <xf numFmtId="175" fontId="34" fillId="0" borderId="0" xfId="0" applyNumberFormat="1" applyFont="1" applyFill="1" applyAlignment="1">
      <alignment horizontal="right" vertical="center"/>
    </xf>
    <xf numFmtId="0" fontId="58" fillId="0" borderId="10" xfId="0" applyFont="1" applyFill="1" applyBorder="1" applyAlignment="1">
      <alignment horizontal="right" vertical="center" wrapText="1"/>
    </xf>
    <xf numFmtId="0" fontId="55" fillId="3" borderId="10" xfId="0" applyFont="1" applyFill="1" applyBorder="1" applyAlignment="1">
      <alignment horizontal="right" vertical="center"/>
    </xf>
    <xf numFmtId="0" fontId="55" fillId="0" borderId="10" xfId="0" applyFont="1" applyFill="1" applyBorder="1" applyAlignment="1">
      <alignment horizontal="right" vertical="center"/>
    </xf>
    <xf numFmtId="166" fontId="55" fillId="0" borderId="0" xfId="1" applyNumberFormat="1" applyFont="1" applyAlignment="1">
      <alignment horizontal="right" vertical="center"/>
    </xf>
    <xf numFmtId="0" fontId="55" fillId="0" borderId="0" xfId="0" applyFont="1" applyAlignment="1">
      <alignment horizontal="right" vertical="center"/>
    </xf>
    <xf numFmtId="0" fontId="25" fillId="3" borderId="25" xfId="3" applyFont="1" applyFill="1" applyBorder="1" applyAlignment="1">
      <alignment horizontal="right" vertical="center"/>
    </xf>
    <xf numFmtId="43" fontId="25" fillId="3" borderId="22" xfId="1" applyFont="1" applyFill="1" applyBorder="1" applyAlignment="1">
      <alignment horizontal="right" vertical="center"/>
    </xf>
    <xf numFmtId="170" fontId="74" fillId="3" borderId="10" xfId="0" applyNumberFormat="1" applyFont="1" applyFill="1" applyBorder="1" applyAlignment="1">
      <alignment horizontal="right" vertical="center"/>
    </xf>
    <xf numFmtId="166" fontId="74" fillId="3" borderId="10" xfId="1" applyNumberFormat="1" applyFont="1" applyFill="1" applyBorder="1" applyAlignment="1">
      <alignment horizontal="right" vertical="center"/>
    </xf>
    <xf numFmtId="0" fontId="59" fillId="3" borderId="11" xfId="3" applyFont="1" applyFill="1" applyBorder="1" applyAlignment="1">
      <alignment wrapText="1"/>
    </xf>
    <xf numFmtId="165" fontId="34" fillId="0" borderId="0" xfId="0" applyNumberFormat="1" applyFont="1" applyAlignment="1"/>
    <xf numFmtId="0" fontId="59" fillId="0" borderId="9" xfId="3" applyFont="1" applyFill="1" applyBorder="1" applyAlignment="1">
      <alignment horizontal="right" vertical="center"/>
    </xf>
    <xf numFmtId="0" fontId="59" fillId="17" borderId="10" xfId="3" applyFont="1" applyFill="1" applyBorder="1" applyAlignment="1">
      <alignment horizontal="right" vertical="center" wrapText="1"/>
    </xf>
    <xf numFmtId="0" fontId="59" fillId="17" borderId="10" xfId="3" applyFont="1" applyFill="1" applyBorder="1" applyAlignment="1">
      <alignment horizontal="right" vertical="center"/>
    </xf>
    <xf numFmtId="43" fontId="59" fillId="0" borderId="10" xfId="1" applyFont="1" applyFill="1" applyBorder="1" applyAlignment="1">
      <alignment horizontal="right" vertical="center"/>
    </xf>
    <xf numFmtId="0" fontId="59" fillId="0" borderId="10" xfId="3" applyFont="1" applyFill="1" applyBorder="1" applyAlignment="1">
      <alignment horizontal="right" vertical="center"/>
    </xf>
    <xf numFmtId="0" fontId="46" fillId="0" borderId="11" xfId="3" applyFont="1" applyFill="1" applyBorder="1" applyAlignment="1">
      <alignment horizontal="right" vertical="center"/>
    </xf>
    <xf numFmtId="166" fontId="34" fillId="0" borderId="0" xfId="1" applyNumberFormat="1" applyFont="1" applyFill="1" applyAlignment="1">
      <alignment horizontal="right" vertical="center"/>
    </xf>
    <xf numFmtId="0" fontId="34" fillId="0" borderId="0" xfId="0" applyFont="1" applyFill="1" applyAlignment="1">
      <alignment horizontal="right" vertical="center"/>
    </xf>
    <xf numFmtId="166" fontId="46" fillId="0" borderId="9" xfId="1" applyNumberFormat="1" applyFont="1" applyFill="1" applyBorder="1" applyAlignment="1">
      <alignment horizontal="right" vertical="center"/>
    </xf>
    <xf numFmtId="0" fontId="59" fillId="0" borderId="10" xfId="3" applyFont="1" applyFill="1" applyBorder="1" applyAlignment="1">
      <alignment horizontal="right" vertical="center" wrapText="1"/>
    </xf>
    <xf numFmtId="0" fontId="46" fillId="0" borderId="9" xfId="3" applyFont="1" applyFill="1" applyBorder="1" applyAlignment="1">
      <alignment horizontal="right" vertical="center"/>
    </xf>
    <xf numFmtId="175" fontId="46" fillId="0" borderId="10" xfId="3" applyNumberFormat="1" applyFont="1" applyFill="1" applyBorder="1" applyAlignment="1">
      <alignment horizontal="right" vertical="center"/>
    </xf>
    <xf numFmtId="175" fontId="51" fillId="0" borderId="11" xfId="1" applyNumberFormat="1" applyFont="1" applyFill="1" applyBorder="1" applyAlignment="1">
      <alignment horizontal="right" vertical="center"/>
    </xf>
    <xf numFmtId="0" fontId="59" fillId="0" borderId="21" xfId="3" applyFont="1" applyFill="1" applyBorder="1" applyAlignment="1">
      <alignment horizontal="right" vertical="center"/>
    </xf>
    <xf numFmtId="0" fontId="59" fillId="0" borderId="14" xfId="3" applyFont="1" applyFill="1" applyBorder="1" applyAlignment="1">
      <alignment horizontal="right" vertical="center"/>
    </xf>
    <xf numFmtId="1" fontId="46" fillId="0" borderId="10" xfId="3" applyNumberFormat="1" applyFont="1" applyFill="1" applyBorder="1" applyAlignment="1">
      <alignment horizontal="right" vertical="center"/>
    </xf>
    <xf numFmtId="43" fontId="71" fillId="7" borderId="10" xfId="1" applyFont="1" applyFill="1" applyBorder="1" applyAlignment="1">
      <alignment horizontal="right" vertical="center"/>
    </xf>
    <xf numFmtId="165" fontId="46" fillId="0" borderId="9" xfId="1" applyNumberFormat="1" applyFont="1" applyFill="1" applyBorder="1" applyAlignment="1">
      <alignment horizontal="right" vertical="center"/>
    </xf>
    <xf numFmtId="175" fontId="51" fillId="0" borderId="21" xfId="1" applyNumberFormat="1" applyFont="1" applyFill="1" applyBorder="1" applyAlignment="1">
      <alignment horizontal="right" vertical="center"/>
    </xf>
    <xf numFmtId="175" fontId="51" fillId="0" borderId="14" xfId="1" applyNumberFormat="1" applyFont="1" applyFill="1" applyBorder="1" applyAlignment="1">
      <alignment horizontal="right" vertical="center"/>
    </xf>
    <xf numFmtId="166" fontId="71" fillId="0" borderId="9" xfId="1" applyNumberFormat="1" applyFont="1" applyBorder="1" applyAlignment="1">
      <alignment horizontal="right" vertical="center"/>
    </xf>
    <xf numFmtId="166" fontId="71" fillId="0" borderId="10" xfId="1" applyNumberFormat="1" applyFont="1" applyBorder="1" applyAlignment="1">
      <alignment horizontal="right" vertical="center"/>
    </xf>
    <xf numFmtId="43" fontId="71" fillId="0" borderId="10" xfId="1" applyFont="1" applyBorder="1" applyAlignment="1">
      <alignment horizontal="right" vertical="center"/>
    </xf>
    <xf numFmtId="166" fontId="71" fillId="0" borderId="11" xfId="1" applyNumberFormat="1" applyFont="1" applyBorder="1" applyAlignment="1">
      <alignment horizontal="right" vertical="center"/>
    </xf>
    <xf numFmtId="0" fontId="34" fillId="0" borderId="10" xfId="0" applyFont="1" applyBorder="1" applyAlignment="1">
      <alignment horizontal="right" vertical="center" wrapText="1"/>
    </xf>
    <xf numFmtId="43" fontId="51" fillId="0" borderId="10" xfId="1" applyFont="1" applyBorder="1" applyAlignment="1">
      <alignment horizontal="right" vertical="center"/>
    </xf>
    <xf numFmtId="170" fontId="59" fillId="3" borderId="23" xfId="3" applyNumberFormat="1" applyFont="1" applyFill="1" applyBorder="1" applyAlignment="1">
      <alignment horizontal="right" vertical="center"/>
    </xf>
    <xf numFmtId="0" fontId="58" fillId="0" borderId="4" xfId="3" applyFont="1" applyBorder="1" applyAlignment="1"/>
    <xf numFmtId="166" fontId="25" fillId="0" borderId="0" xfId="1" applyNumberFormat="1" applyFont="1" applyBorder="1" applyAlignment="1"/>
    <xf numFmtId="0" fontId="25" fillId="0" borderId="0" xfId="3" applyFont="1" applyBorder="1" applyAlignment="1"/>
    <xf numFmtId="170" fontId="34" fillId="0" borderId="0" xfId="0" applyNumberFormat="1" applyFont="1" applyFill="1" applyBorder="1" applyAlignment="1"/>
    <xf numFmtId="0" fontId="81" fillId="0" borderId="4" xfId="0" applyFont="1" applyBorder="1"/>
    <xf numFmtId="0" fontId="59" fillId="3" borderId="5" xfId="0" applyFont="1" applyFill="1" applyBorder="1"/>
    <xf numFmtId="0" fontId="81" fillId="0" borderId="58" xfId="0" applyFont="1" applyBorder="1"/>
    <xf numFmtId="0" fontId="46" fillId="0" borderId="10" xfId="0" applyFont="1" applyFill="1" applyBorder="1" applyAlignment="1">
      <alignment horizontal="right" vertical="center" wrapText="1" readingOrder="2"/>
    </xf>
    <xf numFmtId="0" fontId="72" fillId="0" borderId="8" xfId="0" applyFont="1" applyBorder="1"/>
    <xf numFmtId="0" fontId="72" fillId="0" borderId="12" xfId="0" applyFont="1" applyBorder="1"/>
    <xf numFmtId="0" fontId="46" fillId="0" borderId="10" xfId="0" applyFont="1" applyFill="1" applyBorder="1" applyAlignment="1">
      <alignment horizontal="right" vertical="center" wrapText="1" readingOrder="1"/>
    </xf>
    <xf numFmtId="0" fontId="55" fillId="0" borderId="9" xfId="0" applyFont="1" applyFill="1" applyBorder="1"/>
    <xf numFmtId="0" fontId="34" fillId="0" borderId="10" xfId="0" applyFont="1" applyBorder="1"/>
    <xf numFmtId="0" fontId="59" fillId="0" borderId="9" xfId="0" applyFont="1" applyFill="1" applyBorder="1" applyAlignment="1">
      <alignment horizontal="right" vertical="center"/>
    </xf>
    <xf numFmtId="170" fontId="59" fillId="3" borderId="10" xfId="3" applyNumberFormat="1" applyFont="1" applyFill="1" applyBorder="1"/>
    <xf numFmtId="43" fontId="59" fillId="3" borderId="10" xfId="1" applyFont="1" applyFill="1" applyBorder="1"/>
    <xf numFmtId="170" fontId="59" fillId="3" borderId="11" xfId="3" applyNumberFormat="1" applyFont="1" applyFill="1" applyBorder="1"/>
    <xf numFmtId="0" fontId="59" fillId="13" borderId="5" xfId="0" applyFont="1" applyFill="1" applyBorder="1" applyAlignment="1">
      <alignment horizontal="right" vertical="center" wrapText="1" readingOrder="1"/>
    </xf>
    <xf numFmtId="0" fontId="59" fillId="12" borderId="10" xfId="0" applyFont="1" applyFill="1" applyBorder="1" applyAlignment="1">
      <alignment horizontal="right" vertical="center"/>
    </xf>
    <xf numFmtId="175" fontId="55" fillId="12" borderId="10" xfId="1" applyNumberFormat="1" applyFont="1" applyFill="1" applyBorder="1" applyAlignment="1">
      <alignment horizontal="center"/>
    </xf>
    <xf numFmtId="180" fontId="34" fillId="0" borderId="10" xfId="1" applyNumberFormat="1" applyFont="1" applyBorder="1" applyAlignment="1">
      <alignment horizontal="right"/>
    </xf>
    <xf numFmtId="0" fontId="46" fillId="0" borderId="8" xfId="0" applyFont="1" applyFill="1" applyBorder="1" applyAlignment="1">
      <alignment horizontal="right" vertical="center"/>
    </xf>
    <xf numFmtId="175" fontId="34" fillId="0" borderId="12" xfId="1" applyNumberFormat="1" applyFont="1" applyBorder="1" applyAlignment="1">
      <alignment horizontal="center"/>
    </xf>
    <xf numFmtId="0" fontId="59" fillId="12" borderId="8" xfId="0" applyFont="1" applyFill="1" applyBorder="1" applyAlignment="1">
      <alignment horizontal="right" vertical="center" wrapText="1"/>
    </xf>
    <xf numFmtId="175" fontId="55" fillId="12" borderId="8" xfId="1" applyNumberFormat="1" applyFont="1" applyFill="1" applyBorder="1" applyAlignment="1">
      <alignment horizontal="center"/>
    </xf>
    <xf numFmtId="43" fontId="34" fillId="0" borderId="10" xfId="1" applyFont="1" applyBorder="1" applyAlignment="1">
      <alignment horizontal="right"/>
    </xf>
    <xf numFmtId="0" fontId="46" fillId="0" borderId="8" xfId="0" applyFont="1" applyFill="1" applyBorder="1" applyAlignment="1">
      <alignment horizontal="right" vertical="center" wrapText="1"/>
    </xf>
    <xf numFmtId="166" fontId="34" fillId="0" borderId="10" xfId="1" applyNumberFormat="1" applyFont="1" applyBorder="1" applyAlignment="1">
      <alignment horizontal="right"/>
    </xf>
    <xf numFmtId="170" fontId="34" fillId="3" borderId="23" xfId="5" applyNumberFormat="1" applyFont="1" applyFill="1" applyBorder="1" applyAlignment="1"/>
    <xf numFmtId="0" fontId="34" fillId="0" borderId="5" xfId="0" applyFont="1" applyBorder="1" applyAlignment="1"/>
    <xf numFmtId="0" fontId="34" fillId="0" borderId="6" xfId="0" applyFont="1" applyBorder="1" applyAlignment="1"/>
    <xf numFmtId="0" fontId="59" fillId="0" borderId="9" xfId="0" applyFont="1" applyFill="1" applyBorder="1" applyAlignment="1"/>
    <xf numFmtId="0" fontId="46" fillId="0" borderId="10" xfId="0" applyFont="1" applyFill="1" applyBorder="1" applyAlignment="1">
      <alignment horizontal="center"/>
    </xf>
    <xf numFmtId="0" fontId="59" fillId="0" borderId="10" xfId="3" applyFont="1" applyFill="1" applyBorder="1" applyAlignment="1"/>
    <xf numFmtId="0" fontId="59" fillId="0" borderId="11" xfId="3" applyFont="1" applyFill="1" applyBorder="1" applyAlignment="1"/>
    <xf numFmtId="0" fontId="34" fillId="0" borderId="9" xfId="0" applyFont="1" applyBorder="1" applyAlignment="1">
      <alignment horizontal="center"/>
    </xf>
    <xf numFmtId="0" fontId="34" fillId="0" borderId="10" xfId="0" applyFont="1" applyBorder="1" applyAlignment="1">
      <alignment horizontal="center"/>
    </xf>
    <xf numFmtId="0" fontId="59" fillId="0" borderId="10" xfId="3" applyFont="1" applyBorder="1" applyAlignment="1"/>
    <xf numFmtId="0" fontId="59" fillId="0" borderId="11" xfId="3" applyFont="1" applyBorder="1" applyAlignment="1"/>
    <xf numFmtId="170" fontId="34" fillId="0" borderId="10" xfId="5" applyNumberFormat="1" applyFont="1" applyFill="1" applyBorder="1" applyAlignment="1"/>
    <xf numFmtId="175" fontId="34" fillId="0" borderId="10" xfId="1" applyNumberFormat="1" applyFont="1" applyBorder="1" applyAlignment="1">
      <alignment horizontal="right" vertical="center" readingOrder="2"/>
    </xf>
    <xf numFmtId="170" fontId="34" fillId="0" borderId="10" xfId="5" applyNumberFormat="1" applyFont="1" applyFill="1" applyBorder="1" applyAlignment="1">
      <alignment readingOrder="2"/>
    </xf>
    <xf numFmtId="170" fontId="55" fillId="3" borderId="22" xfId="5" applyNumberFormat="1" applyFont="1" applyFill="1" applyBorder="1" applyAlignment="1"/>
    <xf numFmtId="0" fontId="59" fillId="0" borderId="11" xfId="0" applyFont="1" applyFill="1" applyBorder="1" applyAlignment="1">
      <alignment wrapText="1"/>
    </xf>
    <xf numFmtId="0" fontId="34" fillId="0" borderId="9" xfId="0" applyFont="1" applyFill="1" applyBorder="1" applyAlignment="1">
      <alignment horizontal="center"/>
    </xf>
    <xf numFmtId="0" fontId="34" fillId="0" borderId="10" xfId="0" applyFont="1" applyFill="1" applyBorder="1" applyAlignment="1">
      <alignment horizontal="center"/>
    </xf>
    <xf numFmtId="0" fontId="25" fillId="12" borderId="10" xfId="0" applyFont="1" applyFill="1" applyBorder="1" applyAlignment="1">
      <alignment horizontal="right" vertical="center"/>
    </xf>
    <xf numFmtId="175" fontId="56" fillId="12" borderId="10" xfId="1" applyNumberFormat="1" applyFont="1" applyFill="1" applyBorder="1" applyAlignment="1">
      <alignment horizontal="center"/>
    </xf>
    <xf numFmtId="170" fontId="51" fillId="0" borderId="10" xfId="5" applyNumberFormat="1" applyFont="1" applyFill="1" applyBorder="1" applyAlignment="1"/>
    <xf numFmtId="175" fontId="56" fillId="0" borderId="9" xfId="1" applyNumberFormat="1" applyFont="1" applyBorder="1" applyAlignment="1">
      <alignment horizontal="center"/>
    </xf>
    <xf numFmtId="175" fontId="56" fillId="0" borderId="10" xfId="1" applyNumberFormat="1" applyFont="1" applyBorder="1" applyAlignment="1">
      <alignment horizontal="center"/>
    </xf>
    <xf numFmtId="0" fontId="55" fillId="0" borderId="10" xfId="0" applyFont="1" applyFill="1" applyBorder="1" applyAlignment="1"/>
    <xf numFmtId="0" fontId="55" fillId="0" borderId="11" xfId="0" applyFont="1" applyFill="1" applyBorder="1" applyAlignment="1"/>
    <xf numFmtId="0" fontId="58" fillId="12" borderId="10" xfId="0" applyFont="1" applyFill="1" applyBorder="1" applyAlignment="1">
      <alignment horizontal="right" vertical="center" wrapText="1"/>
    </xf>
    <xf numFmtId="175" fontId="51" fillId="0" borderId="8" xfId="1" applyNumberFormat="1" applyFont="1" applyFill="1" applyBorder="1" applyAlignment="1"/>
    <xf numFmtId="43" fontId="71" fillId="0" borderId="0" xfId="1" applyFont="1" applyFill="1" applyBorder="1" applyAlignment="1">
      <alignment horizontal="center"/>
    </xf>
    <xf numFmtId="166" fontId="71" fillId="0" borderId="0" xfId="1" applyNumberFormat="1" applyFont="1" applyFill="1" applyBorder="1" applyAlignment="1">
      <alignment horizontal="center"/>
    </xf>
    <xf numFmtId="0" fontId="34" fillId="0" borderId="4" xfId="0" applyFont="1" applyFill="1" applyBorder="1" applyAlignment="1"/>
    <xf numFmtId="0" fontId="59" fillId="0" borderId="10" xfId="0" applyFont="1" applyFill="1" applyBorder="1" applyAlignment="1">
      <alignment horizontal="right" vertical="center"/>
    </xf>
    <xf numFmtId="43" fontId="56" fillId="0" borderId="10" xfId="1" applyFont="1" applyFill="1" applyBorder="1" applyAlignment="1"/>
    <xf numFmtId="0" fontId="55" fillId="3" borderId="10" xfId="0" applyFont="1" applyFill="1" applyBorder="1" applyAlignment="1">
      <alignment wrapText="1"/>
    </xf>
    <xf numFmtId="166" fontId="59" fillId="0" borderId="10" xfId="1" applyNumberFormat="1" applyFont="1" applyFill="1" applyBorder="1" applyAlignment="1">
      <alignment wrapText="1"/>
    </xf>
    <xf numFmtId="0" fontId="34" fillId="0" borderId="4" xfId="0" applyFont="1" applyBorder="1" applyAlignment="1"/>
    <xf numFmtId="175" fontId="56" fillId="0" borderId="10" xfId="1" applyNumberFormat="1" applyFont="1" applyFill="1" applyBorder="1" applyAlignment="1">
      <alignment horizontal="right"/>
    </xf>
    <xf numFmtId="175" fontId="56" fillId="0" borderId="11" xfId="1" applyNumberFormat="1" applyFont="1" applyFill="1" applyBorder="1" applyAlignment="1">
      <alignment horizontal="right"/>
    </xf>
    <xf numFmtId="175" fontId="51" fillId="0" borderId="11" xfId="1" applyNumberFormat="1" applyFont="1" applyFill="1" applyBorder="1" applyAlignment="1">
      <alignment horizontal="right"/>
    </xf>
    <xf numFmtId="43" fontId="51" fillId="0" borderId="10" xfId="1" applyFont="1" applyBorder="1" applyAlignment="1">
      <alignment horizontal="right"/>
    </xf>
    <xf numFmtId="0" fontId="25" fillId="3" borderId="9" xfId="3" applyFont="1" applyFill="1" applyBorder="1" applyAlignment="1"/>
    <xf numFmtId="0" fontId="59" fillId="3" borderId="10" xfId="3" applyFont="1" applyFill="1" applyBorder="1" applyAlignment="1">
      <alignment horizontal="right" vertical="center"/>
    </xf>
    <xf numFmtId="0" fontId="25" fillId="3" borderId="10" xfId="3" applyFont="1" applyFill="1" applyBorder="1" applyAlignment="1"/>
    <xf numFmtId="43" fontId="25" fillId="3" borderId="10" xfId="1" applyFont="1" applyFill="1" applyBorder="1" applyAlignment="1"/>
    <xf numFmtId="0" fontId="34" fillId="0" borderId="9" xfId="0" applyFont="1" applyBorder="1" applyAlignment="1"/>
    <xf numFmtId="0" fontId="34" fillId="0" borderId="25" xfId="0" applyFont="1" applyBorder="1"/>
    <xf numFmtId="0" fontId="34" fillId="0" borderId="22" xfId="0" applyFont="1" applyBorder="1"/>
    <xf numFmtId="43" fontId="34" fillId="0" borderId="22" xfId="1" applyFont="1" applyBorder="1"/>
    <xf numFmtId="0" fontId="34" fillId="0" borderId="23" xfId="0" applyFont="1" applyBorder="1"/>
    <xf numFmtId="0" fontId="58" fillId="0" borderId="5" xfId="0" applyFont="1" applyBorder="1" applyAlignment="1">
      <alignment horizontal="center"/>
    </xf>
    <xf numFmtId="0" fontId="58" fillId="3" borderId="9" xfId="3" applyFont="1" applyFill="1" applyBorder="1" applyAlignment="1">
      <alignment wrapText="1"/>
    </xf>
    <xf numFmtId="0" fontId="58" fillId="3" borderId="10" xfId="3" applyFont="1" applyFill="1" applyBorder="1" applyAlignment="1">
      <alignment wrapText="1"/>
    </xf>
    <xf numFmtId="43" fontId="58" fillId="3" borderId="10" xfId="1" applyFont="1" applyFill="1" applyBorder="1" applyAlignment="1">
      <alignment wrapText="1"/>
    </xf>
    <xf numFmtId="175" fontId="56" fillId="0" borderId="9" xfId="1" applyNumberFormat="1" applyFont="1" applyFill="1" applyBorder="1" applyAlignment="1">
      <alignment horizontal="center" wrapText="1"/>
    </xf>
    <xf numFmtId="175" fontId="56" fillId="0" borderId="10" xfId="1" applyNumberFormat="1" applyFont="1" applyFill="1" applyBorder="1" applyAlignment="1">
      <alignment horizontal="center" wrapText="1"/>
    </xf>
    <xf numFmtId="43" fontId="51" fillId="0" borderId="10" xfId="1" applyFont="1" applyFill="1" applyBorder="1"/>
    <xf numFmtId="43" fontId="56" fillId="0" borderId="10" xfId="1" applyFont="1" applyFill="1" applyBorder="1"/>
    <xf numFmtId="175" fontId="51" fillId="0" borderId="9" xfId="1" applyNumberFormat="1" applyFont="1" applyBorder="1" applyAlignment="1">
      <alignment horizontal="center" wrapText="1"/>
    </xf>
    <xf numFmtId="175" fontId="51" fillId="0" borderId="10" xfId="1" applyNumberFormat="1" applyFont="1" applyBorder="1" applyAlignment="1">
      <alignment horizontal="center" wrapText="1"/>
    </xf>
    <xf numFmtId="175" fontId="51" fillId="0" borderId="10" xfId="1" applyNumberFormat="1" applyFont="1" applyFill="1" applyBorder="1" applyAlignment="1">
      <alignment horizontal="center" wrapText="1"/>
    </xf>
    <xf numFmtId="175" fontId="51" fillId="0" borderId="10" xfId="1" applyNumberFormat="1" applyFont="1" applyFill="1" applyBorder="1" applyAlignment="1">
      <alignment horizontal="center" vertical="center" wrapText="1"/>
    </xf>
    <xf numFmtId="175" fontId="51" fillId="0" borderId="10" xfId="1" applyNumberFormat="1" applyFont="1" applyBorder="1" applyAlignment="1">
      <alignment horizontal="center" vertical="center" wrapText="1"/>
    </xf>
    <xf numFmtId="0" fontId="34" fillId="0" borderId="25" xfId="0" applyFont="1" applyBorder="1" applyAlignment="1"/>
    <xf numFmtId="0" fontId="59" fillId="0" borderId="4" xfId="0" applyFont="1" applyFill="1" applyBorder="1" applyAlignment="1">
      <alignment horizontal="right" vertical="center"/>
    </xf>
    <xf numFmtId="0" fontId="59" fillId="13" borderId="5" xfId="3" applyFont="1" applyFill="1" applyBorder="1" applyAlignment="1">
      <alignment horizontal="right" vertical="center" wrapText="1" readingOrder="1"/>
    </xf>
    <xf numFmtId="166" fontId="34" fillId="0" borderId="0" xfId="1" applyNumberFormat="1" applyFont="1" applyFill="1"/>
    <xf numFmtId="0" fontId="34" fillId="0" borderId="0" xfId="0" applyFont="1" applyFill="1"/>
    <xf numFmtId="174" fontId="88" fillId="0" borderId="10" xfId="4" applyNumberFormat="1" applyFont="1" applyBorder="1" applyAlignment="1">
      <alignment horizontal="right" vertical="center" wrapText="1" readingOrder="1"/>
    </xf>
    <xf numFmtId="0" fontId="34" fillId="3" borderId="10" xfId="0" applyFont="1" applyFill="1" applyBorder="1"/>
    <xf numFmtId="170" fontId="34" fillId="0" borderId="10" xfId="1" applyNumberFormat="1" applyFont="1" applyFill="1" applyBorder="1"/>
    <xf numFmtId="43" fontId="34" fillId="0" borderId="10" xfId="1" applyFont="1" applyFill="1" applyBorder="1"/>
    <xf numFmtId="0" fontId="34" fillId="0" borderId="11" xfId="0" applyFont="1" applyBorder="1"/>
    <xf numFmtId="0" fontId="34" fillId="0" borderId="9" xfId="0" applyFont="1" applyFill="1" applyBorder="1"/>
    <xf numFmtId="166" fontId="34" fillId="0" borderId="0" xfId="1" applyNumberFormat="1" applyFont="1" applyFill="1" applyBorder="1"/>
    <xf numFmtId="0" fontId="34" fillId="0" borderId="7" xfId="0" applyFont="1" applyFill="1" applyBorder="1"/>
    <xf numFmtId="170" fontId="34" fillId="0" borderId="8" xfId="1" applyNumberFormat="1" applyFont="1" applyFill="1" applyBorder="1"/>
    <xf numFmtId="43" fontId="34" fillId="0" borderId="8" xfId="1" applyFont="1" applyFill="1" applyBorder="1"/>
    <xf numFmtId="174" fontId="88" fillId="0" borderId="8" xfId="4" applyNumberFormat="1" applyFont="1" applyBorder="1" applyAlignment="1">
      <alignment horizontal="right" vertical="center" wrapText="1" readingOrder="1"/>
    </xf>
    <xf numFmtId="0" fontId="34" fillId="3" borderId="8" xfId="0" applyFont="1" applyFill="1" applyBorder="1"/>
    <xf numFmtId="0" fontId="34" fillId="0" borderId="8" xfId="0" applyFont="1" applyBorder="1"/>
    <xf numFmtId="0" fontId="34" fillId="0" borderId="12" xfId="0" applyFont="1" applyBorder="1"/>
    <xf numFmtId="0" fontId="59" fillId="0" borderId="25" xfId="0" applyFont="1" applyFill="1" applyBorder="1" applyAlignment="1">
      <alignment horizontal="right" vertical="center"/>
    </xf>
    <xf numFmtId="170" fontId="59" fillId="3" borderId="22" xfId="3" applyNumberFormat="1" applyFont="1" applyFill="1" applyBorder="1" applyAlignment="1">
      <alignment wrapText="1"/>
    </xf>
    <xf numFmtId="170" fontId="59" fillId="3" borderId="22" xfId="3" applyNumberFormat="1" applyFont="1" applyFill="1" applyBorder="1"/>
    <xf numFmtId="43" fontId="59" fillId="3" borderId="22" xfId="1" applyFont="1" applyFill="1" applyBorder="1"/>
    <xf numFmtId="0" fontId="34" fillId="3" borderId="22" xfId="0" applyFont="1" applyFill="1" applyBorder="1"/>
    <xf numFmtId="170" fontId="59" fillId="3" borderId="23" xfId="3" applyNumberFormat="1" applyFont="1" applyFill="1" applyBorder="1"/>
    <xf numFmtId="0" fontId="55" fillId="0" borderId="22" xfId="0" applyFont="1" applyFill="1" applyBorder="1" applyAlignment="1"/>
    <xf numFmtId="0" fontId="59" fillId="0" borderId="73" xfId="0" applyFont="1" applyBorder="1" applyAlignment="1">
      <alignment horizontal="center"/>
    </xf>
    <xf numFmtId="0" fontId="59" fillId="0" borderId="1" xfId="0" applyFont="1" applyBorder="1" applyAlignment="1">
      <alignment horizontal="center"/>
    </xf>
    <xf numFmtId="0" fontId="59" fillId="0" borderId="21" xfId="0" applyFont="1" applyFill="1" applyBorder="1" applyAlignment="1">
      <alignment wrapText="1"/>
    </xf>
    <xf numFmtId="43" fontId="59" fillId="3" borderId="21" xfId="1" applyFont="1" applyFill="1" applyBorder="1" applyAlignment="1">
      <alignment wrapText="1"/>
    </xf>
    <xf numFmtId="0" fontId="59" fillId="3" borderId="70" xfId="0" applyFont="1" applyFill="1" applyBorder="1" applyAlignment="1">
      <alignment wrapText="1"/>
    </xf>
    <xf numFmtId="0" fontId="55" fillId="0" borderId="20" xfId="0" applyFont="1" applyFill="1" applyBorder="1"/>
    <xf numFmtId="0" fontId="59" fillId="0" borderId="5" xfId="6" applyFont="1" applyFill="1" applyBorder="1" applyAlignment="1">
      <alignment vertical="center"/>
    </xf>
    <xf numFmtId="0" fontId="55" fillId="0" borderId="10" xfId="0" applyFont="1" applyFill="1" applyBorder="1"/>
    <xf numFmtId="0" fontId="59" fillId="0" borderId="5" xfId="6" applyFont="1" applyFill="1" applyBorder="1" applyAlignment="1">
      <alignment vertical="center" wrapText="1"/>
    </xf>
    <xf numFmtId="0" fontId="55" fillId="0" borderId="20" xfId="0" applyFont="1" applyFill="1" applyBorder="1" applyAlignment="1"/>
    <xf numFmtId="0" fontId="59" fillId="0" borderId="10" xfId="6" applyFont="1" applyFill="1" applyBorder="1" applyAlignment="1">
      <alignment vertical="center"/>
    </xf>
    <xf numFmtId="0" fontId="55" fillId="0" borderId="21" xfId="0" applyFont="1" applyFill="1" applyBorder="1" applyAlignment="1"/>
    <xf numFmtId="43" fontId="55" fillId="3" borderId="10" xfId="1" applyFont="1" applyFill="1" applyBorder="1" applyAlignment="1"/>
    <xf numFmtId="166" fontId="55" fillId="3" borderId="10" xfId="0" applyNumberFormat="1" applyFont="1" applyFill="1" applyBorder="1" applyAlignment="1"/>
    <xf numFmtId="170" fontId="59" fillId="0" borderId="0" xfId="3" applyNumberFormat="1" applyFont="1" applyFill="1" applyBorder="1" applyAlignment="1"/>
    <xf numFmtId="166" fontId="34" fillId="0" borderId="0" xfId="0" applyNumberFormat="1" applyFont="1" applyFill="1" applyBorder="1" applyAlignment="1"/>
    <xf numFmtId="0" fontId="82" fillId="0" borderId="0" xfId="0" applyFont="1" applyFill="1" applyBorder="1" applyAlignment="1"/>
    <xf numFmtId="0" fontId="73" fillId="0" borderId="0" xfId="0" applyFont="1" applyFill="1" applyBorder="1" applyAlignment="1"/>
    <xf numFmtId="0" fontId="82" fillId="0" borderId="0" xfId="0" applyFont="1" applyFill="1" applyAlignment="1"/>
    <xf numFmtId="0" fontId="73" fillId="0" borderId="0" xfId="0" applyFont="1" applyFill="1" applyAlignment="1"/>
    <xf numFmtId="0" fontId="82" fillId="0" borderId="0" xfId="0" applyFont="1" applyAlignment="1"/>
    <xf numFmtId="0" fontId="73" fillId="0" borderId="0" xfId="0" applyFont="1" applyAlignment="1"/>
    <xf numFmtId="0" fontId="55" fillId="0" borderId="15" xfId="0" applyFont="1" applyBorder="1" applyAlignment="1"/>
    <xf numFmtId="0" fontId="59" fillId="3" borderId="66" xfId="0" applyFont="1" applyFill="1" applyBorder="1" applyAlignment="1">
      <alignment wrapText="1"/>
    </xf>
    <xf numFmtId="43" fontId="59" fillId="3" borderId="8" xfId="1" applyFont="1" applyFill="1" applyBorder="1" applyAlignment="1">
      <alignment wrapText="1"/>
    </xf>
    <xf numFmtId="170" fontId="58" fillId="3" borderId="10" xfId="5" applyNumberFormat="1" applyFont="1" applyFill="1" applyBorder="1" applyAlignment="1"/>
    <xf numFmtId="0" fontId="46" fillId="3" borderId="10" xfId="0" applyFont="1" applyFill="1" applyBorder="1" applyAlignment="1">
      <alignment horizontal="right" vertical="center"/>
    </xf>
    <xf numFmtId="0" fontId="82" fillId="3" borderId="10" xfId="0" applyFont="1" applyFill="1" applyBorder="1" applyAlignment="1"/>
    <xf numFmtId="0" fontId="73" fillId="3" borderId="10" xfId="0" applyFont="1" applyFill="1" applyBorder="1" applyAlignment="1"/>
    <xf numFmtId="166" fontId="71" fillId="3" borderId="10" xfId="0" applyNumberFormat="1" applyFont="1" applyFill="1" applyBorder="1" applyAlignment="1"/>
    <xf numFmtId="170" fontId="55" fillId="13" borderId="15" xfId="0" applyNumberFormat="1" applyFont="1" applyFill="1" applyBorder="1" applyAlignment="1"/>
    <xf numFmtId="170" fontId="59" fillId="13" borderId="16" xfId="0" applyNumberFormat="1" applyFont="1" applyFill="1" applyBorder="1" applyAlignment="1">
      <alignment horizontal="right" vertical="center"/>
    </xf>
    <xf numFmtId="170" fontId="55" fillId="13" borderId="16" xfId="0" applyNumberFormat="1" applyFont="1" applyFill="1" applyBorder="1" applyAlignment="1"/>
    <xf numFmtId="43" fontId="71" fillId="13" borderId="16" xfId="1" applyFont="1" applyFill="1" applyBorder="1" applyAlignment="1">
      <alignment horizontal="center"/>
    </xf>
    <xf numFmtId="170" fontId="71" fillId="13" borderId="16" xfId="1" applyNumberFormat="1" applyFont="1" applyFill="1" applyBorder="1" applyAlignment="1">
      <alignment horizontal="center"/>
    </xf>
    <xf numFmtId="166" fontId="34" fillId="0" borderId="0" xfId="0" applyNumberFormat="1" applyFont="1" applyAlignment="1"/>
    <xf numFmtId="0" fontId="44" fillId="0" borderId="10" xfId="0" applyFont="1" applyFill="1" applyBorder="1" applyAlignment="1">
      <alignment horizontal="right" wrapText="1" readingOrder="2"/>
    </xf>
    <xf numFmtId="0" fontId="35" fillId="0" borderId="65" xfId="0" applyFont="1" applyFill="1" applyBorder="1"/>
    <xf numFmtId="0" fontId="35" fillId="0" borderId="10" xfId="0" applyFont="1" applyBorder="1" applyAlignment="1">
      <alignment horizontal="right" wrapText="1" readingOrder="2"/>
    </xf>
    <xf numFmtId="174" fontId="42" fillId="0" borderId="10" xfId="4" applyNumberFormat="1" applyFont="1" applyBorder="1" applyAlignment="1">
      <alignment horizontal="right" vertical="center" wrapText="1" readingOrder="1"/>
    </xf>
    <xf numFmtId="174" fontId="42" fillId="0" borderId="11" xfId="4" applyNumberFormat="1" applyFont="1" applyBorder="1" applyAlignment="1">
      <alignment horizontal="right" vertical="center" wrapText="1" readingOrder="1"/>
    </xf>
    <xf numFmtId="174" fontId="43" fillId="0" borderId="10" xfId="4" applyNumberFormat="1" applyFont="1" applyBorder="1" applyAlignment="1">
      <alignment horizontal="right" vertical="center" wrapText="1" readingOrder="1"/>
    </xf>
    <xf numFmtId="174" fontId="43" fillId="0" borderId="11" xfId="4" applyNumberFormat="1" applyFont="1" applyBorder="1" applyAlignment="1">
      <alignment horizontal="right" vertical="center" wrapText="1" readingOrder="1"/>
    </xf>
    <xf numFmtId="0" fontId="69" fillId="12" borderId="10" xfId="0" applyFont="1" applyFill="1" applyBorder="1" applyAlignment="1">
      <alignment horizontal="right" readingOrder="2"/>
    </xf>
    <xf numFmtId="170" fontId="44" fillId="0" borderId="8" xfId="1" applyNumberFormat="1" applyFont="1" applyFill="1" applyBorder="1"/>
    <xf numFmtId="0" fontId="23" fillId="0" borderId="6" xfId="0" applyFont="1" applyBorder="1" applyAlignment="1">
      <alignment horizontal="center" wrapText="1"/>
    </xf>
    <xf numFmtId="170" fontId="39" fillId="0" borderId="10" xfId="5" applyNumberFormat="1" applyFont="1" applyFill="1" applyBorder="1" applyAlignment="1">
      <alignment horizontal="right" vertical="center"/>
    </xf>
    <xf numFmtId="170" fontId="23" fillId="3" borderId="10" xfId="0" applyNumberFormat="1" applyFont="1" applyFill="1" applyBorder="1" applyAlignment="1">
      <alignment wrapText="1"/>
    </xf>
    <xf numFmtId="170" fontId="44" fillId="0" borderId="10" xfId="5" applyNumberFormat="1" applyFont="1" applyFill="1" applyBorder="1" applyAlignment="1">
      <alignment horizontal="right" wrapText="1"/>
    </xf>
    <xf numFmtId="170" fontId="39" fillId="3" borderId="22" xfId="5" applyNumberFormat="1" applyFont="1" applyFill="1" applyBorder="1" applyAlignment="1">
      <alignment wrapText="1"/>
    </xf>
    <xf numFmtId="170" fontId="23" fillId="3" borderId="22" xfId="0" applyNumberFormat="1" applyFont="1" applyFill="1" applyBorder="1" applyAlignment="1">
      <alignment wrapText="1"/>
    </xf>
    <xf numFmtId="166" fontId="29" fillId="0" borderId="10" xfId="1" applyNumberFormat="1" applyFont="1" applyFill="1" applyBorder="1" applyAlignment="1"/>
    <xf numFmtId="170" fontId="35" fillId="0" borderId="43" xfId="5" applyNumberFormat="1" applyFont="1" applyBorder="1" applyAlignment="1">
      <alignment vertical="center" wrapText="1" readingOrder="2"/>
    </xf>
    <xf numFmtId="170" fontId="35" fillId="0" borderId="26" xfId="5" applyNumberFormat="1" applyFont="1" applyBorder="1" applyAlignment="1">
      <alignment vertical="center" wrapText="1" readingOrder="2"/>
    </xf>
    <xf numFmtId="170" fontId="35" fillId="0" borderId="62" xfId="5" applyNumberFormat="1" applyFont="1" applyBorder="1" applyAlignment="1">
      <alignment vertical="center" readingOrder="2"/>
    </xf>
    <xf numFmtId="0" fontId="34" fillId="0" borderId="57" xfId="0" applyFont="1" applyBorder="1" applyAlignment="1"/>
    <xf numFmtId="0" fontId="73" fillId="0" borderId="8" xfId="0" applyFont="1" applyFill="1" applyBorder="1" applyAlignment="1"/>
    <xf numFmtId="166" fontId="73" fillId="0" borderId="8" xfId="1" applyNumberFormat="1" applyFont="1" applyFill="1" applyBorder="1" applyAlignment="1"/>
    <xf numFmtId="166" fontId="46" fillId="0" borderId="26" xfId="1" applyNumberFormat="1" applyFont="1" applyFill="1" applyBorder="1" applyAlignment="1">
      <alignment wrapText="1"/>
    </xf>
    <xf numFmtId="166" fontId="46" fillId="0" borderId="43" xfId="1" applyNumberFormat="1" applyFont="1" applyFill="1" applyBorder="1" applyAlignment="1">
      <alignment wrapText="1"/>
    </xf>
    <xf numFmtId="0" fontId="35" fillId="0" borderId="57" xfId="0" applyFont="1" applyBorder="1" applyAlignment="1"/>
    <xf numFmtId="0" fontId="23" fillId="0" borderId="8" xfId="6" applyFont="1" applyFill="1" applyBorder="1" applyAlignment="1">
      <alignment vertical="center" wrapText="1" readingOrder="2"/>
    </xf>
    <xf numFmtId="0" fontId="23" fillId="0" borderId="8" xfId="0" applyFont="1" applyFill="1" applyBorder="1" applyAlignment="1">
      <alignment horizontal="right" vertical="center"/>
    </xf>
    <xf numFmtId="0" fontId="23" fillId="3" borderId="8" xfId="0" applyFont="1" applyFill="1" applyBorder="1" applyAlignment="1">
      <alignment wrapText="1"/>
    </xf>
    <xf numFmtId="0" fontId="66" fillId="0" borderId="8" xfId="0" applyFont="1" applyFill="1" applyBorder="1" applyAlignment="1"/>
    <xf numFmtId="166" fontId="23" fillId="0" borderId="26" xfId="1" applyNumberFormat="1" applyFont="1" applyFill="1" applyBorder="1" applyAlignment="1">
      <alignment wrapText="1"/>
    </xf>
    <xf numFmtId="166" fontId="23" fillId="0" borderId="43" xfId="1" applyNumberFormat="1" applyFont="1" applyFill="1" applyBorder="1" applyAlignment="1">
      <alignment wrapText="1"/>
    </xf>
    <xf numFmtId="0" fontId="76" fillId="0" borderId="5" xfId="0" applyFont="1" applyFill="1" applyBorder="1" applyAlignment="1">
      <alignment wrapText="1"/>
    </xf>
    <xf numFmtId="3" fontId="29" fillId="0" borderId="10" xfId="0" applyNumberFormat="1" applyFont="1" applyFill="1" applyBorder="1" applyAlignment="1"/>
    <xf numFmtId="170" fontId="39" fillId="0" borderId="10" xfId="0" applyNumberFormat="1" applyFont="1" applyBorder="1" applyAlignment="1">
      <alignment wrapText="1"/>
    </xf>
    <xf numFmtId="170" fontId="35" fillId="0" borderId="10" xfId="5" applyNumberFormat="1" applyFont="1" applyBorder="1" applyAlignment="1">
      <alignment vertical="center" readingOrder="2"/>
    </xf>
    <xf numFmtId="170" fontId="35" fillId="0" borderId="10" xfId="5" applyNumberFormat="1" applyFont="1" applyBorder="1" applyAlignment="1">
      <alignment vertical="center" wrapText="1" readingOrder="2"/>
    </xf>
    <xf numFmtId="3" fontId="19" fillId="0" borderId="10" xfId="0" applyNumberFormat="1" applyFont="1" applyFill="1" applyBorder="1" applyAlignment="1"/>
    <xf numFmtId="170" fontId="23" fillId="3" borderId="22" xfId="5" applyNumberFormat="1" applyFont="1" applyFill="1" applyBorder="1" applyAlignment="1">
      <alignment horizontal="right" wrapText="1"/>
    </xf>
    <xf numFmtId="170" fontId="35" fillId="3" borderId="22" xfId="0" applyNumberFormat="1" applyFont="1" applyFill="1" applyBorder="1" applyAlignment="1">
      <alignment wrapText="1"/>
    </xf>
    <xf numFmtId="0" fontId="44" fillId="3" borderId="22" xfId="0" applyFont="1" applyFill="1" applyBorder="1"/>
    <xf numFmtId="170" fontId="35" fillId="3" borderId="23" xfId="0" applyNumberFormat="1" applyFont="1" applyFill="1" applyBorder="1" applyAlignment="1">
      <alignment wrapText="1"/>
    </xf>
    <xf numFmtId="170" fontId="39" fillId="3" borderId="20" xfId="5" applyNumberFormat="1" applyFont="1" applyFill="1" applyBorder="1" applyAlignment="1">
      <alignment wrapText="1"/>
    </xf>
    <xf numFmtId="170" fontId="35" fillId="3" borderId="20" xfId="0" applyNumberFormat="1" applyFont="1" applyFill="1" applyBorder="1" applyAlignment="1">
      <alignment wrapText="1"/>
    </xf>
    <xf numFmtId="0" fontId="29" fillId="0" borderId="0" xfId="3" applyFont="1" applyFill="1" applyBorder="1" applyAlignment="1">
      <alignment horizontal="right" vertical="center" wrapText="1" readingOrder="1"/>
    </xf>
    <xf numFmtId="0" fontId="23" fillId="0" borderId="0" xfId="3" applyFont="1" applyFill="1" applyBorder="1" applyAlignment="1"/>
    <xf numFmtId="0" fontId="23" fillId="0" borderId="0" xfId="3" applyFont="1" applyFill="1" applyBorder="1" applyAlignment="1">
      <alignment wrapText="1"/>
    </xf>
    <xf numFmtId="0" fontId="29" fillId="13" borderId="21" xfId="3" applyFont="1" applyFill="1" applyBorder="1" applyAlignment="1">
      <alignment horizontal="right" vertical="center" wrapText="1" readingOrder="1"/>
    </xf>
    <xf numFmtId="0" fontId="44" fillId="3" borderId="21" xfId="0" applyFont="1" applyFill="1" applyBorder="1"/>
    <xf numFmtId="170" fontId="53" fillId="0" borderId="10" xfId="5" applyNumberFormat="1" applyFont="1" applyFill="1" applyBorder="1"/>
    <xf numFmtId="170" fontId="29" fillId="0" borderId="10" xfId="0" applyNumberFormat="1" applyFont="1" applyFill="1" applyBorder="1"/>
    <xf numFmtId="170" fontId="29" fillId="0" borderId="8" xfId="0" applyNumberFormat="1" applyFont="1" applyFill="1" applyBorder="1"/>
    <xf numFmtId="0" fontId="23" fillId="3" borderId="22" xfId="3" applyFont="1" applyFill="1" applyBorder="1" applyAlignment="1">
      <alignment horizontal="right" vertical="center" wrapText="1" readingOrder="1"/>
    </xf>
    <xf numFmtId="0" fontId="19" fillId="3" borderId="22" xfId="3" applyFont="1" applyFill="1" applyBorder="1"/>
    <xf numFmtId="0" fontId="23" fillId="3" borderId="10" xfId="3" applyFont="1" applyFill="1" applyBorder="1" applyAlignment="1">
      <alignment horizontal="right" vertical="center" wrapText="1" readingOrder="1"/>
    </xf>
    <xf numFmtId="0" fontId="23" fillId="0" borderId="0" xfId="3" applyFont="1" applyFill="1" applyBorder="1" applyAlignment="1">
      <alignment horizontal="right" vertical="center" wrapText="1" readingOrder="1"/>
    </xf>
    <xf numFmtId="0" fontId="19" fillId="0" borderId="0" xfId="3" applyFont="1" applyFill="1" applyBorder="1"/>
    <xf numFmtId="170" fontId="39" fillId="0" borderId="53" xfId="5" applyNumberFormat="1" applyFont="1" applyBorder="1" applyAlignment="1">
      <alignment horizontal="center" wrapText="1" readingOrder="2"/>
    </xf>
    <xf numFmtId="170" fontId="39" fillId="0" borderId="0" xfId="5" applyNumberFormat="1" applyFont="1" applyBorder="1" applyAlignment="1">
      <alignment horizontal="center" wrapText="1" readingOrder="2"/>
    </xf>
    <xf numFmtId="0" fontId="29" fillId="13" borderId="5" xfId="3" applyFont="1" applyFill="1" applyBorder="1" applyAlignment="1">
      <alignment horizontal="right" vertical="center" wrapText="1" readingOrder="1"/>
    </xf>
    <xf numFmtId="0" fontId="29" fillId="13" borderId="10" xfId="3" applyFont="1" applyFill="1" applyBorder="1" applyAlignment="1">
      <alignment horizontal="right" vertical="center" wrapText="1" readingOrder="1"/>
    </xf>
    <xf numFmtId="0" fontId="29" fillId="13" borderId="5" xfId="3" applyFont="1" applyFill="1" applyBorder="1" applyAlignment="1">
      <alignment horizontal="right" vertical="center" wrapText="1" readingOrder="2"/>
    </xf>
    <xf numFmtId="0" fontId="29" fillId="13" borderId="10" xfId="3" applyFont="1" applyFill="1" applyBorder="1" applyAlignment="1">
      <alignment horizontal="right" vertical="center" wrapText="1" readingOrder="2"/>
    </xf>
    <xf numFmtId="170" fontId="23" fillId="3" borderId="22" xfId="5" applyNumberFormat="1" applyFont="1" applyFill="1" applyBorder="1"/>
    <xf numFmtId="0" fontId="23" fillId="0" borderId="15" xfId="0" applyFont="1" applyFill="1" applyBorder="1" applyAlignment="1">
      <alignment horizontal="right" vertical="center"/>
    </xf>
    <xf numFmtId="170" fontId="19" fillId="0" borderId="0" xfId="5" applyNumberFormat="1" applyFont="1" applyFill="1" applyBorder="1" applyAlignment="1"/>
    <xf numFmtId="0" fontId="39" fillId="0" borderId="10" xfId="5" applyNumberFormat="1" applyFont="1" applyFill="1" applyBorder="1" applyAlignment="1">
      <alignment vertical="center"/>
    </xf>
    <xf numFmtId="170" fontId="29" fillId="0" borderId="62" xfId="0" applyNumberFormat="1" applyFont="1" applyFill="1" applyBorder="1"/>
    <xf numFmtId="0" fontId="53" fillId="0" borderId="2" xfId="0" applyFont="1" applyBorder="1" applyAlignment="1">
      <alignment wrapText="1" readingOrder="2"/>
    </xf>
    <xf numFmtId="0" fontId="53" fillId="0" borderId="47" xfId="0" applyFont="1" applyBorder="1" applyAlignment="1">
      <alignment wrapText="1" readingOrder="2"/>
    </xf>
    <xf numFmtId="0" fontId="53" fillId="0" borderId="0" xfId="0" applyFont="1" applyBorder="1" applyAlignment="1">
      <alignment wrapText="1" readingOrder="2"/>
    </xf>
    <xf numFmtId="170" fontId="29" fillId="0" borderId="10" xfId="0" applyNumberFormat="1" applyFont="1" applyFill="1" applyBorder="1" applyAlignment="1">
      <alignment horizontal="center"/>
    </xf>
    <xf numFmtId="170" fontId="29" fillId="18" borderId="0" xfId="5" applyNumberFormat="1" applyFont="1" applyFill="1" applyBorder="1" applyAlignment="1"/>
    <xf numFmtId="0" fontId="39" fillId="0" borderId="0" xfId="0" applyFont="1" applyAlignment="1">
      <alignment readingOrder="2"/>
    </xf>
    <xf numFmtId="0" fontId="29" fillId="0" borderId="10" xfId="0" applyFont="1" applyFill="1" applyBorder="1" applyAlignment="1">
      <alignment horizontal="right" wrapText="1" readingOrder="2"/>
    </xf>
    <xf numFmtId="0" fontId="39" fillId="0" borderId="0" xfId="0" applyFont="1" applyFill="1" applyAlignment="1">
      <alignment horizontal="right" wrapText="1"/>
    </xf>
    <xf numFmtId="170" fontId="35" fillId="0" borderId="0" xfId="0" applyNumberFormat="1" applyFont="1" applyBorder="1"/>
    <xf numFmtId="165" fontId="39" fillId="0" borderId="0" xfId="1" applyNumberFormat="1" applyFont="1"/>
    <xf numFmtId="166" fontId="23" fillId="3" borderId="10" xfId="1" applyNumberFormat="1" applyFont="1" applyFill="1" applyBorder="1" applyAlignment="1">
      <alignment wrapText="1"/>
    </xf>
    <xf numFmtId="166" fontId="39" fillId="0" borderId="10" xfId="1" applyNumberFormat="1" applyFont="1" applyFill="1" applyBorder="1" applyAlignment="1">
      <alignment wrapText="1"/>
    </xf>
    <xf numFmtId="166" fontId="39" fillId="0" borderId="10" xfId="1" applyNumberFormat="1" applyFont="1" applyBorder="1" applyAlignment="1">
      <alignment horizontal="left" vertical="center" wrapText="1" readingOrder="1"/>
    </xf>
    <xf numFmtId="166" fontId="35" fillId="0" borderId="10" xfId="1" applyNumberFormat="1" applyFont="1" applyBorder="1" applyAlignment="1">
      <alignment vertical="center" wrapText="1" readingOrder="2"/>
    </xf>
    <xf numFmtId="166" fontId="19" fillId="0" borderId="10" xfId="1" applyNumberFormat="1" applyFont="1" applyFill="1" applyBorder="1" applyAlignment="1"/>
    <xf numFmtId="166" fontId="35" fillId="3" borderId="22" xfId="1" applyNumberFormat="1" applyFont="1" applyFill="1" applyBorder="1" applyAlignment="1">
      <alignment wrapText="1"/>
    </xf>
    <xf numFmtId="166" fontId="23" fillId="0" borderId="0" xfId="1" applyNumberFormat="1" applyFont="1" applyFill="1" applyBorder="1" applyAlignment="1">
      <alignment wrapText="1"/>
    </xf>
    <xf numFmtId="166" fontId="39" fillId="0" borderId="10" xfId="1" applyNumberFormat="1" applyFont="1" applyFill="1" applyBorder="1"/>
    <xf numFmtId="166" fontId="19" fillId="0" borderId="0" xfId="1" applyNumberFormat="1" applyFont="1" applyFill="1" applyBorder="1"/>
    <xf numFmtId="166" fontId="29" fillId="0" borderId="10" xfId="1" applyNumberFormat="1" applyFont="1" applyFill="1" applyBorder="1"/>
    <xf numFmtId="166" fontId="39" fillId="0" borderId="10" xfId="1" applyNumberFormat="1" applyFont="1" applyFill="1" applyBorder="1" applyAlignment="1">
      <alignment horizontal="right" vertical="center"/>
    </xf>
    <xf numFmtId="166" fontId="39" fillId="3" borderId="10" xfId="1" applyNumberFormat="1" applyFont="1" applyFill="1" applyBorder="1"/>
    <xf numFmtId="166" fontId="19" fillId="0" borderId="0" xfId="1" applyNumberFormat="1" applyFont="1" applyFill="1" applyBorder="1" applyAlignment="1"/>
    <xf numFmtId="166" fontId="39" fillId="0" borderId="10" xfId="1" applyNumberFormat="1" applyFont="1" applyFill="1" applyBorder="1" applyAlignment="1">
      <alignment vertical="center" wrapText="1"/>
    </xf>
    <xf numFmtId="166" fontId="35" fillId="0" borderId="0" xfId="1" applyNumberFormat="1" applyFont="1"/>
    <xf numFmtId="166" fontId="29" fillId="0" borderId="62" xfId="1" applyNumberFormat="1" applyFont="1" applyFill="1" applyBorder="1"/>
    <xf numFmtId="166" fontId="29" fillId="0" borderId="10" xfId="1" applyNumberFormat="1" applyFont="1" applyFill="1" applyBorder="1" applyAlignment="1">
      <alignment horizontal="center"/>
    </xf>
    <xf numFmtId="0" fontId="75" fillId="0" borderId="0" xfId="0" applyFont="1" applyFill="1" applyBorder="1" applyAlignment="1">
      <alignment vertical="center" wrapText="1" readingOrder="1"/>
    </xf>
    <xf numFmtId="0" fontId="39" fillId="0" borderId="11" xfId="0" applyFont="1" applyFill="1" applyBorder="1"/>
    <xf numFmtId="165" fontId="39" fillId="0" borderId="10" xfId="0" applyNumberFormat="1" applyFont="1" applyFill="1" applyBorder="1"/>
    <xf numFmtId="170" fontId="39" fillId="0" borderId="10" xfId="0" applyNumberFormat="1" applyFont="1" applyFill="1" applyBorder="1"/>
    <xf numFmtId="176" fontId="39" fillId="0" borderId="10" xfId="0" applyNumberFormat="1" applyFont="1" applyFill="1" applyBorder="1"/>
    <xf numFmtId="166" fontId="40" fillId="18" borderId="10" xfId="1" applyNumberFormat="1" applyFont="1" applyFill="1" applyBorder="1" applyAlignment="1">
      <alignment horizontal="right" vertical="center" wrapText="1" readingOrder="1"/>
    </xf>
    <xf numFmtId="0" fontId="39" fillId="3" borderId="62" xfId="0" applyFont="1" applyFill="1" applyBorder="1" applyAlignment="1"/>
    <xf numFmtId="170" fontId="35" fillId="0" borderId="0" xfId="5" applyNumberFormat="1" applyFont="1" applyBorder="1"/>
    <xf numFmtId="170" fontId="29" fillId="0" borderId="22" xfId="5" applyNumberFormat="1" applyFont="1" applyFill="1" applyBorder="1"/>
    <xf numFmtId="170" fontId="39" fillId="0" borderId="22" xfId="5" applyNumberFormat="1" applyFont="1" applyFill="1" applyBorder="1"/>
    <xf numFmtId="170" fontId="23" fillId="0" borderId="22" xfId="0" applyNumberFormat="1" applyFont="1" applyFill="1" applyBorder="1"/>
    <xf numFmtId="0" fontId="23" fillId="0" borderId="22" xfId="3" applyFont="1" applyFill="1" applyBorder="1"/>
    <xf numFmtId="170" fontId="23" fillId="0" borderId="23" xfId="0" applyNumberFormat="1" applyFont="1" applyFill="1" applyBorder="1" applyAlignment="1"/>
    <xf numFmtId="170" fontId="35" fillId="0" borderId="10" xfId="5" applyNumberFormat="1" applyFont="1" applyFill="1" applyBorder="1" applyAlignment="1">
      <alignment horizontal="right" wrapText="1"/>
    </xf>
    <xf numFmtId="0" fontId="35" fillId="0" borderId="0" xfId="0" applyFont="1" applyBorder="1"/>
    <xf numFmtId="170" fontId="23" fillId="0" borderId="0" xfId="3" applyNumberFormat="1" applyFont="1" applyFill="1" applyBorder="1" applyAlignment="1">
      <alignment wrapText="1"/>
    </xf>
    <xf numFmtId="0" fontId="23" fillId="3" borderId="62" xfId="0" applyFont="1" applyFill="1" applyBorder="1" applyAlignment="1">
      <alignment wrapText="1" readingOrder="2"/>
    </xf>
    <xf numFmtId="170" fontId="23" fillId="0" borderId="10" xfId="3" applyNumberFormat="1" applyFont="1" applyFill="1" applyBorder="1" applyAlignment="1">
      <alignment wrapText="1"/>
    </xf>
    <xf numFmtId="0" fontId="23" fillId="0" borderId="10" xfId="0" applyFont="1" applyFill="1" applyBorder="1" applyAlignment="1">
      <alignment horizontal="right" readingOrder="2"/>
    </xf>
    <xf numFmtId="43" fontId="44" fillId="0" borderId="10" xfId="0" applyNumberFormat="1" applyFont="1" applyBorder="1"/>
    <xf numFmtId="0" fontId="29" fillId="0" borderId="10" xfId="0" applyFont="1" applyFill="1" applyBorder="1" applyAlignment="1">
      <alignment vertical="center" wrapText="1" readingOrder="2"/>
    </xf>
    <xf numFmtId="0" fontId="29" fillId="0" borderId="8" xfId="0" applyFont="1" applyFill="1" applyBorder="1" applyAlignment="1">
      <alignment vertical="center" wrapText="1" readingOrder="2"/>
    </xf>
    <xf numFmtId="170" fontId="44" fillId="0" borderId="8" xfId="5" applyNumberFormat="1" applyFont="1" applyFill="1" applyBorder="1" applyAlignment="1"/>
    <xf numFmtId="0" fontId="29" fillId="20" borderId="10" xfId="0" applyFont="1" applyFill="1" applyBorder="1" applyAlignment="1">
      <alignment horizontal="right" vertical="center" wrapText="1" readingOrder="2"/>
    </xf>
    <xf numFmtId="0" fontId="69" fillId="0" borderId="35" xfId="0" applyFont="1" applyBorder="1"/>
    <xf numFmtId="170" fontId="23" fillId="3" borderId="22" xfId="3" applyNumberFormat="1" applyFont="1" applyFill="1" applyBorder="1" applyAlignment="1">
      <alignment horizontal="right" wrapText="1" readingOrder="2"/>
    </xf>
    <xf numFmtId="0" fontId="69" fillId="0" borderId="0" xfId="0" applyFont="1"/>
    <xf numFmtId="0" fontId="44" fillId="0" borderId="0" xfId="0" applyFont="1"/>
    <xf numFmtId="170" fontId="44" fillId="0" borderId="0" xfId="0" applyNumberFormat="1" applyFont="1"/>
    <xf numFmtId="0" fontId="23" fillId="13" borderId="30" xfId="3" applyFont="1" applyFill="1" applyBorder="1" applyAlignment="1">
      <alignment horizontal="right" vertical="center" wrapText="1" readingOrder="1"/>
    </xf>
    <xf numFmtId="0" fontId="23" fillId="3" borderId="9" xfId="0" applyFont="1" applyFill="1" applyBorder="1" applyAlignment="1">
      <alignment horizontal="center" vertical="center" wrapText="1"/>
    </xf>
    <xf numFmtId="0" fontId="29" fillId="0" borderId="9" xfId="0" applyFont="1" applyFill="1" applyBorder="1" applyAlignment="1">
      <alignment horizontal="right" vertical="center" wrapText="1" readingOrder="1"/>
    </xf>
    <xf numFmtId="166" fontId="44" fillId="0" borderId="10" xfId="0" applyNumberFormat="1" applyFont="1" applyBorder="1"/>
    <xf numFmtId="170" fontId="44" fillId="0" borderId="10" xfId="5" applyNumberFormat="1" applyFont="1" applyBorder="1" applyAlignment="1">
      <alignment horizontal="right" wrapText="1"/>
    </xf>
    <xf numFmtId="170" fontId="44" fillId="0" borderId="10" xfId="5" applyNumberFormat="1" applyFont="1" applyBorder="1"/>
    <xf numFmtId="170" fontId="23" fillId="3" borderId="25" xfId="3" applyNumberFormat="1" applyFont="1" applyFill="1" applyBorder="1" applyAlignment="1">
      <alignment horizontal="right" wrapText="1" readingOrder="2"/>
    </xf>
    <xf numFmtId="166" fontId="23" fillId="3" borderId="22" xfId="1" applyNumberFormat="1" applyFont="1" applyFill="1" applyBorder="1" applyAlignment="1">
      <alignment horizontal="right" wrapText="1" readingOrder="1"/>
    </xf>
    <xf numFmtId="170" fontId="23" fillId="0" borderId="0" xfId="3" applyNumberFormat="1" applyFont="1" applyFill="1" applyBorder="1" applyAlignment="1">
      <alignment horizontal="right" wrapText="1" readingOrder="2"/>
    </xf>
    <xf numFmtId="170" fontId="23" fillId="0" borderId="0" xfId="3" applyNumberFormat="1" applyFont="1" applyFill="1" applyBorder="1" applyAlignment="1">
      <alignment horizontal="right" wrapText="1" readingOrder="1"/>
    </xf>
    <xf numFmtId="166" fontId="40" fillId="0" borderId="11" xfId="1" applyNumberFormat="1" applyFont="1" applyBorder="1"/>
    <xf numFmtId="0" fontId="59" fillId="0" borderId="10" xfId="0" applyFont="1" applyFill="1" applyBorder="1" applyAlignment="1">
      <alignment wrapText="1"/>
    </xf>
    <xf numFmtId="0" fontId="34" fillId="0" borderId="0" xfId="0" applyFont="1" applyBorder="1"/>
    <xf numFmtId="0" fontId="34" fillId="0" borderId="22" xfId="0" applyFont="1" applyFill="1" applyBorder="1" applyAlignment="1"/>
    <xf numFmtId="0" fontId="55" fillId="13" borderId="15" xfId="0" applyFont="1" applyFill="1" applyBorder="1" applyAlignment="1"/>
    <xf numFmtId="0" fontId="59" fillId="13" borderId="16" xfId="0" applyFont="1" applyFill="1" applyBorder="1" applyAlignment="1">
      <alignment horizontal="right" vertical="center"/>
    </xf>
    <xf numFmtId="0" fontId="55" fillId="13" borderId="16" xfId="0" applyFont="1" applyFill="1" applyBorder="1" applyAlignment="1"/>
    <xf numFmtId="166" fontId="71" fillId="13" borderId="16" xfId="1" applyNumberFormat="1" applyFont="1" applyFill="1" applyBorder="1" applyAlignment="1">
      <alignment horizontal="center"/>
    </xf>
    <xf numFmtId="0" fontId="59" fillId="0" borderId="10" xfId="0" applyFont="1" applyFill="1" applyBorder="1" applyAlignment="1">
      <alignment horizontal="right" readingOrder="2"/>
    </xf>
    <xf numFmtId="43" fontId="72" fillId="0" borderId="10" xfId="0" applyNumberFormat="1" applyFont="1" applyBorder="1"/>
    <xf numFmtId="0" fontId="46" fillId="0" borderId="10" xfId="0" applyFont="1" applyFill="1" applyBorder="1" applyAlignment="1">
      <alignment vertical="center" wrapText="1" readingOrder="2"/>
    </xf>
    <xf numFmtId="170" fontId="72" fillId="0" borderId="10" xfId="5" applyNumberFormat="1" applyFont="1" applyFill="1" applyBorder="1" applyAlignment="1">
      <alignment horizontal="right"/>
    </xf>
    <xf numFmtId="170" fontId="72" fillId="0" borderId="10" xfId="5" applyNumberFormat="1" applyFont="1" applyFill="1" applyBorder="1"/>
    <xf numFmtId="0" fontId="46" fillId="0" borderId="8" xfId="0" applyFont="1" applyFill="1" applyBorder="1" applyAlignment="1">
      <alignment vertical="center" wrapText="1" readingOrder="2"/>
    </xf>
    <xf numFmtId="170" fontId="72" fillId="0" borderId="8" xfId="5" applyNumberFormat="1" applyFont="1" applyFill="1" applyBorder="1" applyAlignment="1"/>
    <xf numFmtId="0" fontId="46" fillId="0" borderId="8" xfId="0" applyFont="1" applyFill="1" applyBorder="1" applyAlignment="1">
      <alignment horizontal="right" vertical="center" wrapText="1" readingOrder="2"/>
    </xf>
    <xf numFmtId="0" fontId="81" fillId="0" borderId="9" xfId="0" applyFont="1" applyBorder="1"/>
    <xf numFmtId="170" fontId="59" fillId="3" borderId="10" xfId="3" applyNumberFormat="1" applyFont="1" applyFill="1" applyBorder="1" applyAlignment="1">
      <alignment horizontal="right" wrapText="1" readingOrder="2"/>
    </xf>
    <xf numFmtId="170" fontId="59" fillId="3" borderId="10" xfId="3" applyNumberFormat="1" applyFont="1" applyFill="1" applyBorder="1" applyAlignment="1">
      <alignment wrapText="1"/>
    </xf>
    <xf numFmtId="0" fontId="81" fillId="0" borderId="33" xfId="0" applyFont="1" applyFill="1" applyBorder="1"/>
    <xf numFmtId="0" fontId="72" fillId="0" borderId="56" xfId="0" applyFont="1" applyBorder="1"/>
    <xf numFmtId="0" fontId="81" fillId="0" borderId="0" xfId="0" applyFont="1" applyFill="1" applyBorder="1"/>
    <xf numFmtId="170" fontId="59" fillId="0" borderId="0" xfId="3" applyNumberFormat="1" applyFont="1" applyFill="1" applyBorder="1" applyAlignment="1">
      <alignment horizontal="center" wrapText="1"/>
    </xf>
    <xf numFmtId="0" fontId="72" fillId="0" borderId="0" xfId="0" applyFont="1" applyFill="1" applyBorder="1"/>
    <xf numFmtId="0" fontId="59" fillId="0" borderId="0" xfId="3" applyFont="1" applyFill="1" applyBorder="1" applyAlignment="1">
      <alignment horizontal="center" vertical="center" readingOrder="2"/>
    </xf>
    <xf numFmtId="43" fontId="34" fillId="0" borderId="0" xfId="0" applyNumberFormat="1" applyFont="1"/>
    <xf numFmtId="0" fontId="45" fillId="0" borderId="56" xfId="0" applyFont="1" applyFill="1" applyBorder="1"/>
    <xf numFmtId="0" fontId="19" fillId="0" borderId="0" xfId="0" applyFont="1" applyFill="1" applyBorder="1" applyAlignment="1">
      <alignment horizontal="right" vertical="center" readingOrder="2"/>
    </xf>
    <xf numFmtId="0" fontId="34" fillId="0" borderId="58" xfId="0" applyFont="1" applyBorder="1"/>
    <xf numFmtId="43" fontId="34" fillId="0" borderId="0" xfId="1" applyFont="1" applyBorder="1"/>
    <xf numFmtId="166" fontId="34" fillId="0" borderId="0" xfId="0" applyNumberFormat="1" applyFont="1" applyBorder="1"/>
    <xf numFmtId="0" fontId="34" fillId="0" borderId="54" xfId="0" applyFont="1" applyBorder="1"/>
    <xf numFmtId="0" fontId="34" fillId="0" borderId="35" xfId="0" applyFont="1" applyBorder="1"/>
    <xf numFmtId="0" fontId="34" fillId="0" borderId="39" xfId="0" applyFont="1" applyBorder="1"/>
    <xf numFmtId="43" fontId="34" fillId="0" borderId="39" xfId="1" applyFont="1" applyBorder="1"/>
    <xf numFmtId="0" fontId="34" fillId="0" borderId="67" xfId="0" applyFont="1" applyBorder="1"/>
    <xf numFmtId="0" fontId="51" fillId="0" borderId="10" xfId="0" applyFont="1" applyBorder="1"/>
    <xf numFmtId="43" fontId="34" fillId="0" borderId="10" xfId="1" applyFont="1" applyBorder="1"/>
    <xf numFmtId="166" fontId="34" fillId="0" borderId="10" xfId="0" applyNumberFormat="1" applyFont="1" applyBorder="1"/>
    <xf numFmtId="166" fontId="71" fillId="0" borderId="11" xfId="1" applyNumberFormat="1" applyFont="1" applyFill="1" applyBorder="1" applyAlignment="1">
      <alignment vertical="center"/>
    </xf>
    <xf numFmtId="166" fontId="74" fillId="3" borderId="11" xfId="1" applyNumberFormat="1" applyFont="1" applyFill="1" applyBorder="1" applyAlignment="1"/>
    <xf numFmtId="0" fontId="34" fillId="0" borderId="9" xfId="0" applyFont="1" applyBorder="1"/>
    <xf numFmtId="43" fontId="34" fillId="0" borderId="10" xfId="1" applyFont="1" applyBorder="1" applyAlignment="1">
      <alignment horizontal="right" vertical="center" wrapText="1"/>
    </xf>
    <xf numFmtId="170" fontId="55" fillId="0" borderId="11" xfId="0" applyNumberFormat="1" applyFont="1" applyBorder="1" applyAlignment="1">
      <alignment vertical="center"/>
    </xf>
    <xf numFmtId="0" fontId="34" fillId="0" borderId="11" xfId="0" applyFont="1" applyBorder="1" applyAlignment="1">
      <alignment vertical="center"/>
    </xf>
    <xf numFmtId="0" fontId="34" fillId="0" borderId="22" xfId="0" applyFont="1" applyBorder="1" applyAlignment="1">
      <alignment horizontal="right" vertical="center" wrapText="1"/>
    </xf>
    <xf numFmtId="43" fontId="34" fillId="0" borderId="22" xfId="1" applyFont="1" applyBorder="1" applyAlignment="1">
      <alignment horizontal="right" vertical="center" wrapText="1"/>
    </xf>
    <xf numFmtId="0" fontId="34" fillId="0" borderId="23" xfId="0" applyFont="1" applyBorder="1" applyAlignment="1">
      <alignment vertical="center"/>
    </xf>
    <xf numFmtId="170" fontId="59" fillId="3" borderId="10" xfId="3" applyNumberFormat="1" applyFont="1" applyFill="1" applyBorder="1" applyAlignment="1"/>
    <xf numFmtId="170" fontId="59" fillId="0" borderId="10" xfId="0" applyNumberFormat="1" applyFont="1" applyBorder="1" applyAlignment="1"/>
    <xf numFmtId="0" fontId="34" fillId="0" borderId="11" xfId="0" applyFont="1" applyBorder="1" applyAlignment="1"/>
    <xf numFmtId="0" fontId="34" fillId="0" borderId="12" xfId="0" applyFont="1" applyBorder="1" applyAlignment="1"/>
    <xf numFmtId="175" fontId="34" fillId="0" borderId="11" xfId="1" applyNumberFormat="1" applyFont="1" applyFill="1" applyBorder="1" applyAlignment="1">
      <alignment horizontal="center"/>
    </xf>
    <xf numFmtId="170" fontId="51" fillId="3" borderId="10" xfId="5" applyNumberFormat="1" applyFont="1" applyFill="1" applyBorder="1" applyAlignment="1"/>
    <xf numFmtId="43" fontId="51" fillId="3" borderId="10" xfId="1" applyFont="1" applyFill="1" applyBorder="1" applyAlignment="1"/>
    <xf numFmtId="170" fontId="58" fillId="3" borderId="10" xfId="0" applyNumberFormat="1" applyFont="1" applyFill="1" applyBorder="1" applyAlignment="1"/>
    <xf numFmtId="170" fontId="51" fillId="3" borderId="9" xfId="5" applyNumberFormat="1" applyFont="1" applyFill="1" applyBorder="1" applyAlignment="1"/>
    <xf numFmtId="170" fontId="58" fillId="3" borderId="11" xfId="0" applyNumberFormat="1" applyFont="1" applyFill="1" applyBorder="1" applyAlignment="1"/>
    <xf numFmtId="170" fontId="34" fillId="0" borderId="22" xfId="0" applyNumberFormat="1" applyFont="1" applyBorder="1"/>
    <xf numFmtId="170" fontId="34" fillId="0" borderId="23" xfId="0" applyNumberFormat="1" applyFont="1" applyBorder="1"/>
    <xf numFmtId="43" fontId="56" fillId="0" borderId="10" xfId="1" applyFont="1" applyFill="1" applyBorder="1" applyAlignment="1">
      <alignment horizontal="right" vertical="center"/>
    </xf>
    <xf numFmtId="0" fontId="25" fillId="3" borderId="10" xfId="3" applyFont="1" applyFill="1" applyBorder="1" applyAlignment="1">
      <alignment horizontal="right" vertical="center"/>
    </xf>
    <xf numFmtId="43" fontId="25" fillId="3" borderId="10" xfId="1" applyFont="1" applyFill="1" applyBorder="1" applyAlignment="1">
      <alignment horizontal="right" vertical="center"/>
    </xf>
    <xf numFmtId="170" fontId="58" fillId="3" borderId="10" xfId="3" applyNumberFormat="1" applyFont="1" applyFill="1" applyBorder="1" applyAlignment="1">
      <alignment horizontal="right" vertical="center"/>
    </xf>
    <xf numFmtId="175" fontId="56" fillId="0" borderId="9" xfId="1" applyNumberFormat="1" applyFont="1" applyBorder="1" applyAlignment="1">
      <alignment horizontal="right" vertical="center"/>
    </xf>
    <xf numFmtId="0" fontId="25" fillId="3" borderId="9" xfId="3" applyFont="1" applyFill="1" applyBorder="1" applyAlignment="1">
      <alignment horizontal="right" vertical="center"/>
    </xf>
    <xf numFmtId="170" fontId="59" fillId="3" borderId="11" xfId="0" applyNumberFormat="1" applyFont="1" applyFill="1" applyBorder="1" applyAlignment="1">
      <alignment horizontal="right" vertical="center"/>
    </xf>
    <xf numFmtId="166" fontId="71" fillId="17" borderId="10" xfId="1" applyNumberFormat="1" applyFont="1" applyFill="1" applyBorder="1" applyAlignment="1">
      <alignment horizontal="right" vertical="center"/>
    </xf>
    <xf numFmtId="0" fontId="55" fillId="0" borderId="18" xfId="0" applyFont="1" applyBorder="1" applyAlignment="1"/>
    <xf numFmtId="0" fontId="59" fillId="13" borderId="1" xfId="3" applyFont="1" applyFill="1" applyBorder="1" applyAlignment="1">
      <alignment horizontal="right" vertical="center" wrapText="1" readingOrder="1"/>
    </xf>
    <xf numFmtId="0" fontId="23" fillId="0" borderId="10" xfId="6" applyFont="1" applyFill="1" applyBorder="1" applyAlignment="1">
      <alignment vertical="center" wrapText="1" readingOrder="2"/>
    </xf>
    <xf numFmtId="43" fontId="35" fillId="0" borderId="10" xfId="1" applyFont="1" applyFill="1" applyBorder="1" applyAlignment="1"/>
    <xf numFmtId="43" fontId="35" fillId="0" borderId="10" xfId="1" applyFont="1" applyFill="1" applyBorder="1" applyAlignment="1">
      <alignment horizontal="center" vertical="center"/>
    </xf>
    <xf numFmtId="43" fontId="34" fillId="0" borderId="10" xfId="0" applyNumberFormat="1" applyFont="1" applyFill="1" applyBorder="1" applyAlignment="1"/>
    <xf numFmtId="0" fontId="59" fillId="3" borderId="4" xfId="0" applyFont="1" applyFill="1" applyBorder="1" applyAlignment="1">
      <alignment wrapText="1"/>
    </xf>
    <xf numFmtId="0" fontId="59" fillId="3" borderId="5" xfId="0" applyFont="1" applyFill="1" applyBorder="1" applyAlignment="1">
      <alignment wrapText="1"/>
    </xf>
    <xf numFmtId="43" fontId="59" fillId="3" borderId="5" xfId="1" applyFont="1" applyFill="1" applyBorder="1" applyAlignment="1">
      <alignment wrapText="1"/>
    </xf>
    <xf numFmtId="0" fontId="59" fillId="3" borderId="6" xfId="0" applyFont="1" applyFill="1" applyBorder="1" applyAlignment="1">
      <alignment wrapText="1"/>
    </xf>
    <xf numFmtId="0" fontId="35" fillId="0" borderId="9" xfId="0" applyFont="1" applyBorder="1" applyAlignment="1"/>
    <xf numFmtId="166" fontId="54" fillId="0" borderId="11" xfId="1" applyNumberFormat="1" applyFont="1" applyFill="1" applyBorder="1" applyAlignment="1">
      <alignment horizontal="right"/>
    </xf>
    <xf numFmtId="166" fontId="51" fillId="0" borderId="11" xfId="1" applyNumberFormat="1" applyFont="1" applyFill="1" applyBorder="1" applyAlignment="1">
      <alignment horizontal="right"/>
    </xf>
    <xf numFmtId="0" fontId="34" fillId="3" borderId="25" xfId="0" applyFont="1" applyFill="1" applyBorder="1" applyAlignment="1"/>
    <xf numFmtId="0" fontId="46" fillId="3" borderId="22" xfId="0" applyFont="1" applyFill="1" applyBorder="1" applyAlignment="1">
      <alignment horizontal="right" vertical="center"/>
    </xf>
    <xf numFmtId="43" fontId="34" fillId="3" borderId="22" xfId="0" applyNumberFormat="1" applyFont="1" applyFill="1" applyBorder="1" applyAlignment="1"/>
    <xf numFmtId="0" fontId="82" fillId="3" borderId="22" xfId="0" applyFont="1" applyFill="1" applyBorder="1" applyAlignment="1"/>
    <xf numFmtId="0" fontId="73" fillId="3" borderId="22" xfId="0" applyFont="1" applyFill="1" applyBorder="1" applyAlignment="1"/>
    <xf numFmtId="166" fontId="71" fillId="3" borderId="23" xfId="0" applyNumberFormat="1" applyFont="1" applyFill="1" applyBorder="1" applyAlignment="1"/>
    <xf numFmtId="0" fontId="55" fillId="0" borderId="15" xfId="0" applyFont="1" applyFill="1" applyBorder="1" applyAlignment="1"/>
    <xf numFmtId="0" fontId="59" fillId="0" borderId="13" xfId="0" applyFont="1" applyFill="1" applyBorder="1" applyAlignment="1">
      <alignment wrapText="1"/>
    </xf>
    <xf numFmtId="0" fontId="59" fillId="3" borderId="14" xfId="0" applyFont="1" applyFill="1" applyBorder="1" applyAlignment="1">
      <alignment wrapText="1"/>
    </xf>
    <xf numFmtId="0" fontId="55" fillId="0" borderId="66" xfId="0" applyFont="1" applyFill="1" applyBorder="1"/>
    <xf numFmtId="0" fontId="55" fillId="0" borderId="11" xfId="0" applyFont="1" applyFill="1" applyBorder="1"/>
    <xf numFmtId="0" fontId="55" fillId="0" borderId="66" xfId="0" applyFont="1" applyFill="1" applyBorder="1" applyAlignment="1"/>
    <xf numFmtId="0" fontId="71" fillId="0" borderId="11" xfId="0" applyFont="1" applyFill="1" applyBorder="1" applyAlignment="1"/>
    <xf numFmtId="0" fontId="34" fillId="0" borderId="66" xfId="0" applyFont="1" applyFill="1" applyBorder="1" applyAlignment="1"/>
    <xf numFmtId="0" fontId="73" fillId="0" borderId="11" xfId="0" applyFont="1" applyFill="1" applyBorder="1" applyAlignment="1"/>
    <xf numFmtId="0" fontId="55" fillId="0" borderId="33" xfId="0" applyFont="1" applyFill="1" applyBorder="1" applyAlignment="1"/>
    <xf numFmtId="0" fontId="59" fillId="3" borderId="22" xfId="0" applyFont="1" applyFill="1" applyBorder="1" applyAlignment="1">
      <alignment horizontal="right" vertical="center"/>
    </xf>
    <xf numFmtId="43" fontId="55" fillId="3" borderId="22" xfId="1" applyFont="1" applyFill="1" applyBorder="1" applyAlignment="1"/>
    <xf numFmtId="166" fontId="56" fillId="12" borderId="22" xfId="1" applyNumberFormat="1" applyFont="1" applyFill="1" applyBorder="1" applyAlignment="1">
      <alignment horizontal="right"/>
    </xf>
    <xf numFmtId="166" fontId="55" fillId="3" borderId="22" xfId="0" applyNumberFormat="1" applyFont="1" applyFill="1" applyBorder="1" applyAlignment="1"/>
    <xf numFmtId="166" fontId="55" fillId="3" borderId="23" xfId="0" applyNumberFormat="1" applyFont="1" applyFill="1" applyBorder="1" applyAlignment="1"/>
    <xf numFmtId="166" fontId="85" fillId="0" borderId="11" xfId="1" applyNumberFormat="1" applyFont="1" applyFill="1" applyBorder="1" applyAlignment="1"/>
    <xf numFmtId="0" fontId="46" fillId="0" borderId="22" xfId="6" applyFont="1" applyFill="1" applyBorder="1" applyAlignment="1">
      <alignment horizontal="right" vertical="center" readingOrder="1"/>
    </xf>
    <xf numFmtId="175" fontId="51" fillId="0" borderId="11" xfId="1" applyNumberFormat="1" applyFont="1" applyFill="1" applyBorder="1" applyAlignment="1">
      <alignment horizontal="center" wrapText="1"/>
    </xf>
    <xf numFmtId="170" fontId="58" fillId="3" borderId="11" xfId="3" applyNumberFormat="1" applyFont="1" applyFill="1" applyBorder="1" applyAlignment="1"/>
    <xf numFmtId="166" fontId="34" fillId="0" borderId="10" xfId="1" applyNumberFormat="1" applyFont="1" applyFill="1" applyBorder="1" applyAlignment="1"/>
    <xf numFmtId="170" fontId="34" fillId="0" borderId="10" xfId="0" applyNumberFormat="1" applyFont="1" applyFill="1" applyBorder="1" applyAlignment="1"/>
    <xf numFmtId="0" fontId="34" fillId="0" borderId="9" xfId="0" applyFont="1" applyFill="1" applyBorder="1" applyAlignment="1"/>
    <xf numFmtId="170" fontId="34" fillId="0" borderId="11" xfId="0" applyNumberFormat="1" applyFont="1" applyFill="1" applyBorder="1" applyAlignment="1"/>
    <xf numFmtId="0" fontId="34" fillId="0" borderId="25" xfId="0" applyFont="1" applyFill="1" applyBorder="1" applyAlignment="1"/>
    <xf numFmtId="166" fontId="34" fillId="0" borderId="22" xfId="1" applyNumberFormat="1" applyFont="1" applyFill="1" applyBorder="1" applyAlignment="1"/>
    <xf numFmtId="43" fontId="34" fillId="0" borderId="22" xfId="1" applyFont="1" applyFill="1" applyBorder="1" applyAlignment="1"/>
    <xf numFmtId="0" fontId="34" fillId="0" borderId="23" xfId="0" applyFont="1" applyFill="1" applyBorder="1" applyAlignment="1"/>
    <xf numFmtId="0" fontId="34" fillId="0" borderId="22" xfId="0" applyFont="1" applyBorder="1" applyAlignment="1">
      <alignment vertical="center"/>
    </xf>
    <xf numFmtId="170" fontId="34" fillId="0" borderId="22" xfId="0" applyNumberFormat="1" applyFont="1" applyFill="1" applyBorder="1" applyAlignment="1"/>
    <xf numFmtId="0" fontId="55" fillId="0" borderId="9" xfId="0" applyFont="1" applyBorder="1" applyAlignment="1">
      <alignment vertical="center"/>
    </xf>
    <xf numFmtId="0" fontId="55" fillId="0" borderId="9" xfId="0" applyFont="1" applyBorder="1" applyAlignment="1">
      <alignment horizontal="right" vertical="center" wrapText="1"/>
    </xf>
    <xf numFmtId="0" fontId="34" fillId="0" borderId="9" xfId="0" applyFont="1" applyBorder="1" applyAlignment="1">
      <alignment horizontal="right" vertical="center" wrapText="1"/>
    </xf>
    <xf numFmtId="0" fontId="34" fillId="0" borderId="11" xfId="0" applyFont="1" applyBorder="1" applyAlignment="1">
      <alignment horizontal="right" vertical="center" wrapText="1"/>
    </xf>
    <xf numFmtId="0" fontId="34" fillId="0" borderId="25" xfId="0" applyFont="1" applyBorder="1" applyAlignment="1">
      <alignment horizontal="right" vertical="center" wrapText="1"/>
    </xf>
    <xf numFmtId="0" fontId="34" fillId="0" borderId="23" xfId="0" applyFont="1" applyBorder="1" applyAlignment="1">
      <alignment horizontal="right" vertical="center" wrapText="1"/>
    </xf>
    <xf numFmtId="0" fontId="34" fillId="0" borderId="25" xfId="0" applyFont="1" applyBorder="1" applyAlignment="1">
      <alignment vertical="center"/>
    </xf>
    <xf numFmtId="170" fontId="59" fillId="3" borderId="10" xfId="3" applyNumberFormat="1" applyFont="1" applyFill="1" applyBorder="1" applyAlignment="1">
      <alignment horizontal="right" vertical="center"/>
    </xf>
    <xf numFmtId="0" fontId="59" fillId="0" borderId="11" xfId="3" applyFont="1" applyFill="1" applyBorder="1" applyAlignment="1">
      <alignment horizontal="right" vertical="center"/>
    </xf>
    <xf numFmtId="170" fontId="59" fillId="3" borderId="11" xfId="3" applyNumberFormat="1" applyFont="1" applyFill="1" applyBorder="1" applyAlignment="1">
      <alignment horizontal="right" vertical="center"/>
    </xf>
    <xf numFmtId="165" fontId="66" fillId="13" borderId="16" xfId="1" applyNumberFormat="1" applyFont="1" applyFill="1" applyBorder="1" applyAlignment="1">
      <alignment horizontal="center"/>
    </xf>
    <xf numFmtId="0" fontId="0" fillId="2" borderId="22" xfId="0" applyFill="1" applyBorder="1" applyAlignment="1">
      <alignment vertical="center"/>
    </xf>
    <xf numFmtId="0" fontId="15" fillId="4" borderId="1" xfId="0" applyFont="1" applyFill="1" applyBorder="1" applyAlignment="1">
      <alignment vertical="center" readingOrder="2"/>
    </xf>
    <xf numFmtId="0" fontId="20" fillId="0" borderId="5" xfId="0" applyFont="1" applyBorder="1" applyAlignment="1">
      <alignment horizontal="center"/>
    </xf>
    <xf numFmtId="0" fontId="23" fillId="0" borderId="5" xfId="0" applyFont="1" applyBorder="1" applyAlignment="1">
      <alignment horizontal="center"/>
    </xf>
    <xf numFmtId="0" fontId="45" fillId="0" borderId="8" xfId="0" applyFont="1" applyBorder="1" applyAlignment="1">
      <alignment wrapText="1"/>
    </xf>
    <xf numFmtId="166" fontId="30" fillId="0" borderId="8" xfId="1" applyNumberFormat="1" applyFont="1" applyBorder="1" applyAlignment="1">
      <alignment horizontal="right" wrapText="1" readingOrder="1"/>
    </xf>
    <xf numFmtId="170" fontId="28" fillId="0" borderId="8" xfId="0" applyNumberFormat="1" applyFont="1" applyFill="1" applyBorder="1" applyAlignment="1">
      <alignment wrapText="1"/>
    </xf>
    <xf numFmtId="170" fontId="28" fillId="0" borderId="37" xfId="0" applyNumberFormat="1" applyFont="1" applyFill="1" applyBorder="1" applyAlignment="1">
      <alignment wrapText="1"/>
    </xf>
    <xf numFmtId="170" fontId="23" fillId="0" borderId="11" xfId="3" applyNumberFormat="1" applyFont="1" applyFill="1" applyBorder="1" applyAlignment="1">
      <alignment wrapText="1"/>
    </xf>
    <xf numFmtId="170" fontId="23" fillId="3" borderId="11" xfId="0" applyNumberFormat="1" applyFont="1" applyFill="1" applyBorder="1" applyAlignment="1">
      <alignment wrapText="1"/>
    </xf>
    <xf numFmtId="0" fontId="0" fillId="19" borderId="20" xfId="0" applyFill="1" applyBorder="1" applyAlignment="1">
      <alignment horizontal="center" vertical="center" wrapText="1"/>
    </xf>
    <xf numFmtId="0" fontId="0" fillId="19" borderId="20" xfId="0" applyFill="1" applyBorder="1" applyAlignment="1">
      <alignment vertical="center"/>
    </xf>
    <xf numFmtId="0" fontId="14" fillId="19" borderId="20" xfId="0" applyFont="1" applyFill="1" applyBorder="1"/>
    <xf numFmtId="0" fontId="0" fillId="19" borderId="20" xfId="0" applyFill="1" applyBorder="1"/>
    <xf numFmtId="166" fontId="14" fillId="19" borderId="20" xfId="1" applyNumberFormat="1" applyFont="1" applyFill="1" applyBorder="1"/>
    <xf numFmtId="166" fontId="14" fillId="19" borderId="24" xfId="1" applyNumberFormat="1" applyFont="1" applyFill="1" applyBorder="1"/>
    <xf numFmtId="170" fontId="3" fillId="0" borderId="10" xfId="5" applyNumberFormat="1" applyFont="1" applyFill="1" applyBorder="1" applyAlignment="1">
      <alignment vertical="center" wrapText="1"/>
    </xf>
    <xf numFmtId="0" fontId="3" fillId="19" borderId="20" xfId="0" applyFont="1" applyFill="1" applyBorder="1"/>
    <xf numFmtId="166" fontId="3" fillId="19" borderId="20" xfId="1" applyNumberFormat="1" applyFont="1" applyFill="1" applyBorder="1"/>
    <xf numFmtId="166" fontId="3" fillId="19" borderId="24" xfId="1" applyNumberFormat="1" applyFont="1" applyFill="1" applyBorder="1"/>
    <xf numFmtId="0" fontId="0" fillId="5" borderId="10" xfId="0" applyFill="1" applyBorder="1" applyAlignment="1">
      <alignment horizontal="center" vertical="center"/>
    </xf>
    <xf numFmtId="0" fontId="0" fillId="5" borderId="10" xfId="0" applyFill="1" applyBorder="1" applyAlignment="1">
      <alignment horizontal="center" vertical="center" wrapText="1"/>
    </xf>
    <xf numFmtId="0" fontId="0" fillId="11" borderId="10" xfId="0" applyFill="1" applyBorder="1" applyAlignment="1">
      <alignment horizontal="center" vertical="center" wrapText="1"/>
    </xf>
    <xf numFmtId="0" fontId="0" fillId="2" borderId="10" xfId="0" applyFill="1" applyBorder="1" applyAlignment="1">
      <alignment horizontal="center" vertical="center" wrapText="1"/>
    </xf>
    <xf numFmtId="0" fontId="14" fillId="11" borderId="22" xfId="0" applyFont="1" applyFill="1" applyBorder="1" applyAlignment="1"/>
    <xf numFmtId="0" fontId="0" fillId="6" borderId="5" xfId="0" applyFill="1" applyBorder="1" applyAlignment="1">
      <alignment vertical="center"/>
    </xf>
    <xf numFmtId="0" fontId="0" fillId="2" borderId="36" xfId="0" applyFill="1" applyBorder="1" applyAlignment="1">
      <alignment vertical="center"/>
    </xf>
    <xf numFmtId="174" fontId="35" fillId="0" borderId="0" xfId="0" applyNumberFormat="1" applyFont="1"/>
    <xf numFmtId="0" fontId="0" fillId="0" borderId="10" xfId="0" applyFill="1" applyBorder="1" applyAlignment="1">
      <alignment horizontal="center" vertical="center" wrapText="1"/>
    </xf>
    <xf numFmtId="166" fontId="14" fillId="0" borderId="39" xfId="1" applyNumberFormat="1" applyFont="1" applyFill="1" applyBorder="1"/>
    <xf numFmtId="0" fontId="76" fillId="0" borderId="5" xfId="0" applyFont="1" applyFill="1" applyBorder="1" applyAlignment="1">
      <alignment horizontal="center" wrapText="1"/>
    </xf>
    <xf numFmtId="0" fontId="23" fillId="3" borderId="10" xfId="0" applyFont="1" applyFill="1" applyBorder="1" applyAlignment="1">
      <alignment horizontal="right" readingOrder="2"/>
    </xf>
    <xf numFmtId="0" fontId="23" fillId="3" borderId="10" xfId="0" applyFont="1" applyFill="1" applyBorder="1" applyAlignment="1">
      <alignment horizontal="right" wrapText="1" readingOrder="2"/>
    </xf>
    <xf numFmtId="0" fontId="23" fillId="3" borderId="9" xfId="0" applyFont="1" applyFill="1" applyBorder="1" applyAlignment="1">
      <alignment horizontal="right" readingOrder="2"/>
    </xf>
    <xf numFmtId="0" fontId="30" fillId="0" borderId="9" xfId="0" applyFont="1" applyBorder="1" applyAlignment="1">
      <alignment horizontal="right" vertical="center" wrapText="1" readingOrder="2"/>
    </xf>
    <xf numFmtId="0" fontId="28" fillId="0" borderId="11" xfId="0" applyFont="1" applyFill="1" applyBorder="1" applyAlignment="1">
      <alignment wrapText="1"/>
    </xf>
    <xf numFmtId="0" fontId="45" fillId="0" borderId="9" xfId="0" applyFont="1" applyBorder="1" applyAlignment="1">
      <alignment horizontal="right" vertical="center" wrapText="1" readingOrder="2"/>
    </xf>
    <xf numFmtId="0" fontId="0" fillId="0" borderId="11" xfId="0" applyBorder="1" applyAlignment="1">
      <alignment wrapText="1"/>
    </xf>
    <xf numFmtId="0" fontId="38" fillId="0" borderId="11" xfId="0" applyFont="1" applyBorder="1" applyAlignment="1">
      <alignment wrapText="1"/>
    </xf>
    <xf numFmtId="0" fontId="8" fillId="3" borderId="22" xfId="0" applyFont="1" applyFill="1" applyBorder="1" applyAlignment="1">
      <alignment horizontal="right" wrapText="1" readingOrder="2"/>
    </xf>
    <xf numFmtId="0" fontId="65" fillId="3" borderId="22" xfId="0" applyFont="1" applyFill="1" applyBorder="1" applyAlignment="1">
      <alignment horizontal="right" vertical="center" wrapText="1" readingOrder="2"/>
    </xf>
    <xf numFmtId="177" fontId="33" fillId="3" borderId="22" xfId="0" applyNumberFormat="1" applyFont="1" applyFill="1" applyBorder="1" applyAlignment="1">
      <alignment horizontal="right" vertical="center" wrapText="1" readingOrder="2"/>
    </xf>
    <xf numFmtId="167" fontId="14" fillId="3" borderId="22" xfId="0" applyNumberFormat="1" applyFont="1" applyFill="1" applyBorder="1" applyAlignment="1">
      <alignment wrapText="1"/>
    </xf>
    <xf numFmtId="166" fontId="34" fillId="0" borderId="0" xfId="0" applyNumberFormat="1" applyFont="1" applyFill="1" applyBorder="1"/>
    <xf numFmtId="166" fontId="46" fillId="0" borderId="0" xfId="1" applyNumberFormat="1" applyFont="1" applyFill="1" applyBorder="1" applyAlignment="1">
      <alignment horizontal="right" vertical="center"/>
    </xf>
    <xf numFmtId="165" fontId="34" fillId="0" borderId="0" xfId="0" applyNumberFormat="1" applyFont="1" applyFill="1" applyAlignment="1"/>
    <xf numFmtId="170" fontId="34" fillId="0" borderId="0" xfId="0" applyNumberFormat="1" applyFont="1" applyFill="1"/>
    <xf numFmtId="43" fontId="34" fillId="0" borderId="0" xfId="1" applyFont="1" applyFill="1"/>
    <xf numFmtId="170" fontId="23" fillId="3" borderId="10" xfId="5" applyNumberFormat="1" applyFont="1" applyFill="1" applyBorder="1" applyAlignment="1">
      <alignment horizontal="right" wrapText="1"/>
    </xf>
    <xf numFmtId="170" fontId="23" fillId="3" borderId="42" xfId="5" applyNumberFormat="1" applyFont="1" applyFill="1" applyBorder="1" applyAlignment="1">
      <alignment horizontal="right" wrapText="1"/>
    </xf>
    <xf numFmtId="170" fontId="23" fillId="3" borderId="22" xfId="3" applyNumberFormat="1" applyFont="1" applyFill="1" applyBorder="1" applyAlignment="1">
      <alignment horizontal="right" wrapText="1"/>
    </xf>
    <xf numFmtId="166" fontId="29" fillId="27" borderId="11" xfId="3" applyNumberFormat="1" applyFont="1" applyFill="1" applyBorder="1"/>
    <xf numFmtId="166" fontId="55" fillId="0" borderId="11" xfId="0" applyNumberFormat="1" applyFont="1" applyBorder="1" applyAlignment="1">
      <alignment vertical="center"/>
    </xf>
    <xf numFmtId="170" fontId="34" fillId="14" borderId="0" xfId="0" applyNumberFormat="1" applyFont="1" applyFill="1" applyBorder="1" applyAlignment="1"/>
    <xf numFmtId="166" fontId="73" fillId="0" borderId="0" xfId="0" applyNumberFormat="1" applyFont="1" applyAlignment="1"/>
    <xf numFmtId="175" fontId="34" fillId="0" borderId="0" xfId="0" applyNumberFormat="1" applyFont="1"/>
    <xf numFmtId="0" fontId="59" fillId="0" borderId="11" xfId="3" applyFont="1" applyFill="1" applyBorder="1" applyAlignment="1">
      <alignment horizontal="right" vertical="center" wrapText="1"/>
    </xf>
    <xf numFmtId="170" fontId="34" fillId="0" borderId="11" xfId="0" applyNumberFormat="1" applyFont="1" applyBorder="1"/>
    <xf numFmtId="0" fontId="44" fillId="14" borderId="10" xfId="0" applyFont="1" applyFill="1" applyBorder="1" applyAlignment="1">
      <alignment wrapText="1"/>
    </xf>
    <xf numFmtId="170" fontId="28" fillId="0" borderId="8" xfId="3" applyNumberFormat="1" applyFont="1" applyFill="1" applyBorder="1" applyAlignment="1">
      <alignment horizontal="right" vertical="center" readingOrder="2"/>
    </xf>
    <xf numFmtId="0" fontId="28" fillId="0" borderId="8" xfId="3" applyFont="1" applyFill="1" applyBorder="1" applyAlignment="1">
      <alignment horizontal="right" vertical="center" wrapText="1" readingOrder="2"/>
    </xf>
    <xf numFmtId="0" fontId="19" fillId="0" borderId="8" xfId="3" applyFill="1" applyBorder="1" applyAlignment="1">
      <alignment vertical="center"/>
    </xf>
    <xf numFmtId="170" fontId="28" fillId="0" borderId="37" xfId="3" applyNumberFormat="1" applyFont="1" applyFill="1" applyBorder="1" applyAlignment="1">
      <alignment vertical="center"/>
    </xf>
    <xf numFmtId="0" fontId="46" fillId="0" borderId="10" xfId="0" applyFont="1" applyFill="1" applyBorder="1" applyAlignment="1">
      <alignment horizontal="right" vertical="center" wrapText="1"/>
    </xf>
    <xf numFmtId="170" fontId="29" fillId="0" borderId="10" xfId="0" applyNumberFormat="1" applyFont="1" applyFill="1" applyBorder="1" applyAlignment="1">
      <alignment horizontal="center" readingOrder="2"/>
    </xf>
    <xf numFmtId="0" fontId="46" fillId="0" borderId="10" xfId="0" applyFont="1" applyFill="1" applyBorder="1" applyAlignment="1">
      <alignment horizontal="right" vertical="center" wrapText="1"/>
    </xf>
    <xf numFmtId="0" fontId="23" fillId="0" borderId="5" xfId="0" applyFont="1" applyBorder="1" applyAlignment="1">
      <alignment horizontal="center"/>
    </xf>
    <xf numFmtId="0" fontId="23" fillId="0" borderId="5" xfId="0" applyFont="1" applyBorder="1" applyAlignment="1">
      <alignment horizontal="center" wrapText="1"/>
    </xf>
    <xf numFmtId="0" fontId="23" fillId="0" borderId="6" xfId="0" applyFont="1" applyBorder="1" applyAlignment="1">
      <alignment horizontal="center" wrapText="1"/>
    </xf>
    <xf numFmtId="170" fontId="23" fillId="0" borderId="10" xfId="3" applyNumberFormat="1" applyFont="1" applyFill="1" applyBorder="1" applyAlignment="1">
      <alignment horizontal="right" vertical="center" wrapText="1" readingOrder="2"/>
    </xf>
    <xf numFmtId="170" fontId="29" fillId="0" borderId="10" xfId="3" applyNumberFormat="1" applyFont="1" applyFill="1" applyBorder="1" applyAlignment="1">
      <alignment horizontal="right" vertical="center" wrapText="1" readingOrder="2"/>
    </xf>
    <xf numFmtId="43" fontId="35" fillId="0" borderId="10" xfId="1" applyFont="1" applyFill="1" applyBorder="1" applyAlignment="1">
      <alignment horizontal="right" vertical="center" wrapText="1" readingOrder="2"/>
    </xf>
    <xf numFmtId="170" fontId="35" fillId="0" borderId="10" xfId="5" applyNumberFormat="1" applyFont="1" applyFill="1" applyBorder="1" applyAlignment="1">
      <alignment horizontal="right" vertical="center" wrapText="1" readingOrder="2"/>
    </xf>
    <xf numFmtId="43" fontId="39" fillId="0" borderId="10" xfId="1" applyFont="1" applyFill="1" applyBorder="1" applyAlignment="1">
      <alignment horizontal="right" vertical="center" wrapText="1" readingOrder="2"/>
    </xf>
    <xf numFmtId="170" fontId="39" fillId="0" borderId="10" xfId="5" applyNumberFormat="1" applyFont="1" applyFill="1" applyBorder="1" applyAlignment="1">
      <alignment horizontal="right" vertical="center" wrapText="1" readingOrder="2"/>
    </xf>
    <xf numFmtId="170" fontId="39" fillId="0" borderId="8" xfId="0" applyNumberFormat="1" applyFont="1" applyBorder="1"/>
    <xf numFmtId="0" fontId="44" fillId="6" borderId="10" xfId="0" applyFont="1" applyFill="1" applyBorder="1" applyAlignment="1">
      <alignment wrapText="1"/>
    </xf>
    <xf numFmtId="0" fontId="39" fillId="0" borderId="10" xfId="0" applyFont="1" applyFill="1" applyBorder="1" applyAlignment="1">
      <alignment horizontal="center" vertical="center" wrapText="1"/>
    </xf>
    <xf numFmtId="170" fontId="34" fillId="0" borderId="0" xfId="0" applyNumberFormat="1" applyFont="1" applyBorder="1" applyAlignment="1">
      <alignment horizontal="right" vertical="center" wrapText="1"/>
    </xf>
    <xf numFmtId="43" fontId="34" fillId="0" borderId="10" xfId="1" applyFont="1" applyFill="1" applyBorder="1" applyAlignment="1">
      <alignment horizontal="right"/>
    </xf>
    <xf numFmtId="0" fontId="34" fillId="0" borderId="10" xfId="0" applyFont="1" applyFill="1" applyBorder="1" applyAlignment="1">
      <alignment horizontal="center" vertical="center"/>
    </xf>
    <xf numFmtId="165" fontId="9" fillId="0" borderId="10" xfId="5" applyNumberFormat="1" applyFont="1" applyBorder="1" applyAlignment="1">
      <alignment horizontal="left" vertical="center" wrapText="1" readingOrder="1"/>
    </xf>
    <xf numFmtId="166" fontId="2" fillId="6" borderId="6" xfId="1" applyNumberFormat="1" applyFont="1" applyFill="1" applyBorder="1"/>
    <xf numFmtId="166" fontId="2" fillId="6" borderId="11" xfId="1" applyNumberFormat="1" applyFont="1" applyFill="1" applyBorder="1"/>
    <xf numFmtId="166" fontId="2" fillId="6" borderId="12" xfId="1" applyNumberFormat="1" applyFont="1" applyFill="1" applyBorder="1"/>
    <xf numFmtId="0" fontId="46" fillId="0" borderId="10" xfId="0" applyFont="1" applyFill="1" applyBorder="1" applyAlignment="1">
      <alignment horizontal="right" vertical="center" wrapText="1"/>
    </xf>
    <xf numFmtId="0" fontId="20" fillId="0" borderId="5" xfId="0" applyFont="1" applyBorder="1" applyAlignment="1">
      <alignment horizontal="center"/>
    </xf>
    <xf numFmtId="0" fontId="51" fillId="0" borderId="10" xfId="1" applyNumberFormat="1" applyFont="1" applyBorder="1" applyAlignment="1">
      <alignment horizontal="right"/>
    </xf>
    <xf numFmtId="179" fontId="46" fillId="0" borderId="9" xfId="1" applyNumberFormat="1" applyFont="1" applyFill="1" applyBorder="1" applyAlignment="1">
      <alignment horizontal="right" vertical="center"/>
    </xf>
    <xf numFmtId="43" fontId="39" fillId="0" borderId="10" xfId="1" applyFont="1" applyFill="1" applyBorder="1" applyAlignment="1">
      <alignment vertical="center"/>
    </xf>
    <xf numFmtId="0" fontId="14" fillId="0" borderId="0" xfId="0" applyFont="1" applyAlignment="1"/>
    <xf numFmtId="166" fontId="14" fillId="0" borderId="0" xfId="1" applyNumberFormat="1" applyFont="1"/>
    <xf numFmtId="170" fontId="9" fillId="0" borderId="11" xfId="5" applyNumberFormat="1" applyFont="1" applyBorder="1" applyAlignment="1">
      <alignment vertical="center" wrapText="1"/>
    </xf>
    <xf numFmtId="170" fontId="53" fillId="0" borderId="47" xfId="0" applyNumberFormat="1" applyFont="1" applyBorder="1" applyAlignment="1">
      <alignment wrapText="1" readingOrder="2"/>
    </xf>
    <xf numFmtId="165" fontId="53" fillId="0" borderId="47" xfId="0" applyNumberFormat="1" applyFont="1" applyBorder="1" applyAlignment="1">
      <alignment wrapText="1" readingOrder="2"/>
    </xf>
    <xf numFmtId="0" fontId="35" fillId="0" borderId="9" xfId="0" applyFont="1" applyBorder="1"/>
    <xf numFmtId="0" fontId="23" fillId="0" borderId="10" xfId="0" applyFont="1" applyFill="1" applyBorder="1" applyAlignment="1">
      <alignment horizontal="right" vertical="center" wrapText="1" readingOrder="1"/>
    </xf>
    <xf numFmtId="9" fontId="23" fillId="0" borderId="10" xfId="2" applyFont="1" applyFill="1" applyBorder="1"/>
    <xf numFmtId="170" fontId="23" fillId="0" borderId="10" xfId="0" applyNumberFormat="1" applyFont="1" applyFill="1" applyBorder="1"/>
    <xf numFmtId="0" fontId="69" fillId="0" borderId="11" xfId="0" applyFont="1" applyBorder="1"/>
    <xf numFmtId="43" fontId="23" fillId="0" borderId="10" xfId="1" applyFont="1" applyFill="1" applyBorder="1"/>
    <xf numFmtId="166" fontId="23" fillId="0" borderId="10" xfId="1" applyNumberFormat="1" applyFont="1" applyFill="1" applyBorder="1"/>
    <xf numFmtId="170" fontId="23" fillId="0" borderId="8" xfId="0" applyNumberFormat="1" applyFont="1" applyFill="1" applyBorder="1"/>
    <xf numFmtId="0" fontId="69" fillId="0" borderId="8" xfId="0" applyFont="1" applyBorder="1"/>
    <xf numFmtId="0" fontId="69" fillId="0" borderId="12" xfId="0" applyFont="1" applyBorder="1"/>
    <xf numFmtId="172" fontId="89" fillId="0" borderId="0" xfId="0" applyNumberFormat="1" applyFont="1" applyFill="1" applyBorder="1"/>
    <xf numFmtId="165" fontId="23" fillId="0" borderId="10" xfId="1" applyNumberFormat="1" applyFont="1" applyFill="1" applyBorder="1" applyAlignment="1">
      <alignment wrapText="1"/>
    </xf>
    <xf numFmtId="170" fontId="44" fillId="0" borderId="11" xfId="1" applyNumberFormat="1" applyFont="1" applyFill="1" applyBorder="1" applyAlignment="1">
      <alignment wrapText="1"/>
    </xf>
    <xf numFmtId="0" fontId="46" fillId="0" borderId="10" xfId="0" applyFont="1" applyFill="1" applyBorder="1" applyAlignment="1">
      <alignment horizontal="right" vertical="center" wrapText="1"/>
    </xf>
    <xf numFmtId="0" fontId="23" fillId="3" borderId="8" xfId="0" applyFont="1" applyFill="1" applyBorder="1"/>
    <xf numFmtId="0" fontId="23" fillId="3" borderId="12" xfId="0" applyFont="1" applyFill="1" applyBorder="1" applyAlignment="1">
      <alignment horizontal="center" vertical="center" wrapText="1"/>
    </xf>
    <xf numFmtId="0" fontId="0" fillId="2" borderId="10" xfId="0" applyFill="1" applyBorder="1" applyAlignment="1">
      <alignment horizontal="center" vertical="center" wrapText="1"/>
    </xf>
    <xf numFmtId="0" fontId="0" fillId="2" borderId="10" xfId="0" applyFill="1" applyBorder="1" applyAlignment="1">
      <alignment horizontal="center" vertical="center"/>
    </xf>
    <xf numFmtId="0" fontId="0" fillId="3" borderId="10" xfId="0" applyFill="1" applyBorder="1" applyAlignment="1">
      <alignment horizontal="center" vertical="center"/>
    </xf>
    <xf numFmtId="0" fontId="0" fillId="5" borderId="10" xfId="0" applyFill="1" applyBorder="1" applyAlignment="1">
      <alignment horizontal="center" vertical="center"/>
    </xf>
    <xf numFmtId="0" fontId="0" fillId="5" borderId="10" xfId="0" applyFill="1" applyBorder="1" applyAlignment="1">
      <alignment horizontal="center" vertical="center" wrapText="1"/>
    </xf>
    <xf numFmtId="0" fontId="0" fillId="11" borderId="10" xfId="0" applyFill="1" applyBorder="1" applyAlignment="1">
      <alignment horizontal="center" vertical="center" wrapText="1"/>
    </xf>
    <xf numFmtId="0" fontId="46" fillId="0" borderId="10" xfId="0" applyFont="1" applyFill="1" applyBorder="1" applyAlignment="1">
      <alignment horizontal="right" vertical="center" wrapText="1"/>
    </xf>
    <xf numFmtId="170" fontId="45" fillId="0" borderId="26" xfId="1" applyNumberFormat="1" applyFont="1" applyFill="1" applyBorder="1" applyAlignment="1">
      <alignment horizontal="right" vertical="center" wrapText="1"/>
    </xf>
    <xf numFmtId="166" fontId="45" fillId="0" borderId="10" xfId="1" applyNumberFormat="1" applyFont="1" applyFill="1" applyBorder="1"/>
    <xf numFmtId="165" fontId="39" fillId="0" borderId="10" xfId="5" applyNumberFormat="1" applyFont="1" applyBorder="1" applyAlignment="1">
      <alignment horizontal="left" vertical="center" wrapText="1" readingOrder="1"/>
    </xf>
    <xf numFmtId="0" fontId="13" fillId="11" borderId="10" xfId="0" applyFont="1" applyFill="1" applyBorder="1"/>
    <xf numFmtId="166" fontId="13" fillId="11" borderId="10" xfId="1" applyNumberFormat="1" applyFont="1" applyFill="1" applyBorder="1"/>
    <xf numFmtId="0" fontId="23" fillId="13" borderId="4" xfId="3" applyFont="1" applyFill="1" applyBorder="1" applyAlignment="1">
      <alignment horizontal="right" vertical="center" wrapText="1" readingOrder="1"/>
    </xf>
    <xf numFmtId="0" fontId="76" fillId="0" borderId="47" xfId="0" applyFont="1" applyFill="1" applyBorder="1" applyAlignment="1">
      <alignment horizontal="center" wrapText="1"/>
    </xf>
    <xf numFmtId="0" fontId="23" fillId="3" borderId="9" xfId="0" applyFont="1" applyFill="1" applyBorder="1" applyAlignment="1">
      <alignment wrapText="1"/>
    </xf>
    <xf numFmtId="0" fontId="42" fillId="0" borderId="9" xfId="0" applyFont="1" applyFill="1" applyBorder="1" applyAlignment="1">
      <alignment horizontal="right" vertical="center" wrapText="1" readingOrder="2"/>
    </xf>
    <xf numFmtId="0" fontId="40" fillId="0" borderId="9" xfId="0" applyFont="1" applyFill="1" applyBorder="1" applyAlignment="1">
      <alignment horizontal="right" vertical="center" wrapText="1" readingOrder="2"/>
    </xf>
    <xf numFmtId="0" fontId="40" fillId="0" borderId="9" xfId="0" applyFont="1" applyBorder="1" applyAlignment="1">
      <alignment horizontal="right" vertical="center" wrapText="1" readingOrder="2"/>
    </xf>
    <xf numFmtId="0" fontId="78" fillId="0" borderId="9" xfId="0" applyFont="1" applyBorder="1" applyAlignment="1">
      <alignment horizontal="right" vertical="center" wrapText="1" readingOrder="2"/>
    </xf>
    <xf numFmtId="170" fontId="23" fillId="3" borderId="25" xfId="3" applyNumberFormat="1" applyFont="1" applyFill="1" applyBorder="1" applyAlignment="1">
      <alignment wrapText="1"/>
    </xf>
    <xf numFmtId="0" fontId="20" fillId="13" borderId="2" xfId="3" applyFont="1" applyFill="1" applyBorder="1" applyAlignment="1">
      <alignment horizontal="right" vertical="center" wrapText="1"/>
    </xf>
    <xf numFmtId="166" fontId="8" fillId="0" borderId="62" xfId="1" applyNumberFormat="1" applyFont="1" applyBorder="1" applyAlignment="1">
      <alignment horizontal="right" vertical="center" readingOrder="2"/>
    </xf>
    <xf numFmtId="175" fontId="35" fillId="0" borderId="26" xfId="1" applyNumberFormat="1" applyFont="1" applyBorder="1" applyAlignment="1">
      <alignment horizontal="center" wrapText="1"/>
    </xf>
    <xf numFmtId="0" fontId="0" fillId="0" borderId="26" xfId="0" applyBorder="1" applyAlignment="1">
      <alignment wrapText="1"/>
    </xf>
    <xf numFmtId="0" fontId="37" fillId="0" borderId="26" xfId="0" applyFont="1" applyBorder="1" applyAlignment="1">
      <alignment horizontal="right" vertical="center" readingOrder="2"/>
    </xf>
    <xf numFmtId="0" fontId="8" fillId="0" borderId="26" xfId="0" applyFont="1" applyBorder="1" applyAlignment="1">
      <alignment horizontal="right" readingOrder="2"/>
    </xf>
    <xf numFmtId="170" fontId="11" fillId="3" borderId="31" xfId="5" applyNumberFormat="1" applyFont="1" applyFill="1" applyBorder="1" applyAlignment="1">
      <alignment wrapText="1"/>
    </xf>
    <xf numFmtId="0" fontId="0" fillId="0" borderId="0" xfId="0" applyBorder="1" applyAlignment="1">
      <alignment horizontal="right" wrapText="1" readingOrder="2"/>
    </xf>
    <xf numFmtId="0" fontId="39" fillId="0" borderId="0" xfId="0" applyFont="1" applyBorder="1" applyAlignment="1">
      <alignment horizontal="right" wrapText="1" readingOrder="2"/>
    </xf>
    <xf numFmtId="43" fontId="28" fillId="0" borderId="10" xfId="1" applyFont="1" applyFill="1" applyBorder="1" applyAlignment="1">
      <alignment wrapText="1"/>
    </xf>
    <xf numFmtId="43" fontId="14" fillId="0" borderId="0" xfId="1" applyFont="1"/>
    <xf numFmtId="43" fontId="20" fillId="0" borderId="5" xfId="1" applyFont="1" applyBorder="1" applyAlignment="1">
      <alignment horizontal="center"/>
    </xf>
    <xf numFmtId="43" fontId="62" fillId="3" borderId="5" xfId="1" applyFont="1" applyFill="1" applyBorder="1"/>
    <xf numFmtId="43" fontId="20" fillId="3" borderId="10" xfId="1" applyFont="1" applyFill="1" applyBorder="1" applyAlignment="1">
      <alignment horizontal="center" vertical="center" wrapText="1"/>
    </xf>
    <xf numFmtId="43" fontId="62" fillId="3" borderId="10" xfId="1" applyFont="1" applyFill="1" applyBorder="1" applyAlignment="1">
      <alignment horizontal="center" vertical="center"/>
    </xf>
    <xf numFmtId="43" fontId="20" fillId="3" borderId="10" xfId="1" applyFont="1" applyFill="1" applyBorder="1" applyAlignment="1">
      <alignment horizontal="center" vertical="center"/>
    </xf>
    <xf numFmtId="43" fontId="20" fillId="3" borderId="11" xfId="1" applyFont="1" applyFill="1" applyBorder="1" applyAlignment="1">
      <alignment horizontal="center" vertical="center" wrapText="1"/>
    </xf>
    <xf numFmtId="43" fontId="45" fillId="3" borderId="10" xfId="1" applyFont="1" applyFill="1" applyBorder="1"/>
    <xf numFmtId="43" fontId="62" fillId="3" borderId="10" xfId="1" applyFont="1" applyFill="1" applyBorder="1"/>
    <xf numFmtId="43" fontId="20" fillId="3" borderId="10" xfId="1" applyFont="1" applyFill="1" applyBorder="1"/>
    <xf numFmtId="43" fontId="62" fillId="3" borderId="10" xfId="1" applyFont="1" applyFill="1" applyBorder="1" applyAlignment="1"/>
    <xf numFmtId="43" fontId="14" fillId="0" borderId="0" xfId="1" applyFont="1" applyBorder="1"/>
    <xf numFmtId="43" fontId="28" fillId="3" borderId="10" xfId="1" applyFont="1" applyFill="1" applyBorder="1"/>
    <xf numFmtId="43" fontId="11" fillId="3" borderId="10" xfId="1" applyFont="1" applyFill="1" applyBorder="1"/>
    <xf numFmtId="43" fontId="20" fillId="3" borderId="11" xfId="1" applyFont="1" applyFill="1" applyBorder="1"/>
    <xf numFmtId="43" fontId="11" fillId="3" borderId="22" xfId="1" applyFont="1" applyFill="1" applyBorder="1"/>
    <xf numFmtId="43" fontId="20" fillId="3" borderId="22" xfId="1" applyFont="1" applyFill="1" applyBorder="1"/>
    <xf numFmtId="43" fontId="0" fillId="3" borderId="22" xfId="1" applyFont="1" applyFill="1" applyBorder="1"/>
    <xf numFmtId="43" fontId="20" fillId="3" borderId="23" xfId="1" applyFont="1" applyFill="1" applyBorder="1"/>
    <xf numFmtId="43" fontId="14" fillId="0" borderId="0" xfId="1" applyFont="1" applyFill="1"/>
    <xf numFmtId="43" fontId="20" fillId="3" borderId="9" xfId="1" applyFont="1" applyFill="1" applyBorder="1" applyAlignment="1">
      <alignment horizontal="center" vertical="center" wrapText="1"/>
    </xf>
    <xf numFmtId="43" fontId="28" fillId="0" borderId="9" xfId="1" applyFont="1" applyFill="1" applyBorder="1" applyAlignment="1">
      <alignment wrapText="1"/>
    </xf>
    <xf numFmtId="43" fontId="28" fillId="0" borderId="11" xfId="1" applyFont="1" applyFill="1" applyBorder="1" applyAlignment="1">
      <alignment wrapText="1"/>
    </xf>
    <xf numFmtId="43" fontId="11" fillId="3" borderId="25" xfId="1" applyFont="1" applyFill="1" applyBorder="1"/>
    <xf numFmtId="43" fontId="28" fillId="0" borderId="0" xfId="1" applyFont="1" applyFill="1" applyBorder="1" applyAlignment="1">
      <alignment wrapText="1"/>
    </xf>
    <xf numFmtId="43" fontId="45" fillId="0" borderId="0" xfId="1" applyFont="1" applyFill="1" applyBorder="1"/>
    <xf numFmtId="43" fontId="0" fillId="0" borderId="0" xfId="1" applyFont="1"/>
    <xf numFmtId="43" fontId="28" fillId="0" borderId="8" xfId="1" applyFont="1" applyFill="1" applyBorder="1" applyAlignment="1">
      <alignment wrapText="1"/>
    </xf>
    <xf numFmtId="43" fontId="45" fillId="3" borderId="8" xfId="1" applyFont="1" applyFill="1" applyBorder="1"/>
    <xf numFmtId="43" fontId="28" fillId="0" borderId="37" xfId="1" applyFont="1" applyFill="1" applyBorder="1" applyAlignment="1">
      <alignment wrapText="1"/>
    </xf>
    <xf numFmtId="43" fontId="20" fillId="0" borderId="5" xfId="1" applyFont="1" applyBorder="1" applyAlignment="1">
      <alignment horizontal="right"/>
    </xf>
    <xf numFmtId="43" fontId="20" fillId="0" borderId="5" xfId="1" applyFont="1" applyBorder="1" applyAlignment="1">
      <alignment horizontal="center" wrapText="1"/>
    </xf>
    <xf numFmtId="43" fontId="20" fillId="0" borderId="6" xfId="1" applyFont="1" applyBorder="1" applyAlignment="1">
      <alignment horizontal="center" wrapText="1"/>
    </xf>
    <xf numFmtId="43" fontId="19" fillId="3" borderId="22" xfId="1" applyFont="1" applyFill="1" applyBorder="1"/>
    <xf numFmtId="43" fontId="20" fillId="3" borderId="29" xfId="1" applyFont="1" applyFill="1" applyBorder="1"/>
    <xf numFmtId="43" fontId="0" fillId="17" borderId="10" xfId="1" applyFont="1" applyFill="1" applyBorder="1"/>
    <xf numFmtId="43" fontId="0" fillId="3" borderId="22" xfId="1" applyFont="1" applyFill="1" applyBorder="1" applyAlignment="1"/>
    <xf numFmtId="43" fontId="14" fillId="13" borderId="16" xfId="1" applyFont="1" applyFill="1" applyBorder="1" applyAlignment="1"/>
    <xf numFmtId="43" fontId="67" fillId="13" borderId="16" xfId="1" applyFont="1" applyFill="1" applyBorder="1" applyAlignment="1">
      <alignment horizontal="center"/>
    </xf>
    <xf numFmtId="43" fontId="29" fillId="0" borderId="10" xfId="1" applyFont="1" applyFill="1" applyBorder="1" applyAlignment="1">
      <alignment wrapText="1"/>
    </xf>
    <xf numFmtId="3" fontId="90" fillId="0" borderId="0" xfId="0" applyNumberFormat="1" applyFont="1"/>
    <xf numFmtId="166" fontId="44" fillId="11" borderId="10" xfId="1" applyNumberFormat="1" applyFont="1" applyFill="1" applyBorder="1"/>
    <xf numFmtId="0" fontId="0" fillId="2" borderId="8" xfId="0" applyFill="1" applyBorder="1" applyAlignment="1">
      <alignment vertical="center"/>
    </xf>
    <xf numFmtId="166" fontId="0" fillId="2" borderId="8" xfId="0" applyNumberFormat="1" applyFill="1" applyBorder="1"/>
    <xf numFmtId="0" fontId="34" fillId="0" borderId="10" xfId="0" applyFont="1" applyBorder="1" applyAlignment="1">
      <alignment horizontal="right" vertical="center" wrapText="1"/>
    </xf>
    <xf numFmtId="166" fontId="44" fillId="0" borderId="12" xfId="1" applyNumberFormat="1" applyFont="1" applyBorder="1" applyAlignment="1">
      <alignment vertical="center"/>
    </xf>
    <xf numFmtId="166" fontId="44" fillId="0" borderId="24" xfId="1" applyNumberFormat="1" applyFont="1" applyBorder="1" applyAlignment="1">
      <alignment vertical="center"/>
    </xf>
    <xf numFmtId="166" fontId="44" fillId="0" borderId="14" xfId="1" applyNumberFormat="1" applyFont="1" applyBorder="1" applyAlignment="1">
      <alignment vertical="center"/>
    </xf>
    <xf numFmtId="0" fontId="39" fillId="14" borderId="0" xfId="0" applyFont="1" applyFill="1"/>
    <xf numFmtId="165" fontId="39" fillId="14" borderId="0" xfId="0" applyNumberFormat="1" applyFont="1" applyFill="1"/>
    <xf numFmtId="0" fontId="34" fillId="14" borderId="0" xfId="0" applyFont="1" applyFill="1"/>
    <xf numFmtId="0" fontId="19" fillId="14" borderId="0" xfId="0" applyFont="1" applyFill="1" applyBorder="1" applyAlignment="1">
      <alignment horizontal="right" vertical="center" readingOrder="2"/>
    </xf>
    <xf numFmtId="170" fontId="19" fillId="14" borderId="0" xfId="5" applyNumberFormat="1" applyFont="1" applyFill="1" applyBorder="1" applyAlignment="1"/>
    <xf numFmtId="166" fontId="19" fillId="14" borderId="0" xfId="1" applyNumberFormat="1" applyFont="1" applyFill="1" applyBorder="1" applyAlignment="1"/>
    <xf numFmtId="0" fontId="23" fillId="3" borderId="62" xfId="0" applyFont="1" applyFill="1" applyBorder="1" applyAlignment="1">
      <alignment wrapText="1"/>
    </xf>
    <xf numFmtId="0" fontId="20" fillId="0" borderId="62" xfId="0" applyFont="1" applyFill="1" applyBorder="1" applyAlignment="1">
      <alignment wrapText="1"/>
    </xf>
    <xf numFmtId="0" fontId="0" fillId="0" borderId="62" xfId="0" applyBorder="1" applyAlignment="1">
      <alignment wrapText="1"/>
    </xf>
    <xf numFmtId="170" fontId="14" fillId="3" borderId="29" xfId="0" applyNumberFormat="1" applyFont="1" applyFill="1" applyBorder="1" applyAlignment="1">
      <alignment wrapText="1"/>
    </xf>
    <xf numFmtId="0" fontId="20" fillId="0" borderId="5" xfId="0" applyFont="1" applyBorder="1" applyAlignment="1"/>
    <xf numFmtId="0" fontId="20" fillId="0" borderId="6" xfId="0" applyFont="1" applyBorder="1" applyAlignment="1">
      <alignment horizontal="center"/>
    </xf>
    <xf numFmtId="0" fontId="0" fillId="0" borderId="11" xfId="0" applyBorder="1" applyAlignment="1">
      <alignment horizontal="right" wrapText="1" readingOrder="2"/>
    </xf>
    <xf numFmtId="0" fontId="14" fillId="3" borderId="25" xfId="0" applyFont="1" applyFill="1" applyBorder="1" applyAlignment="1">
      <alignment horizontal="right" vertical="center" wrapText="1" readingOrder="2"/>
    </xf>
    <xf numFmtId="0" fontId="23" fillId="3" borderId="11" xfId="0" applyFont="1" applyFill="1" applyBorder="1" applyAlignment="1">
      <alignment horizontal="right" wrapText="1" readingOrder="2"/>
    </xf>
    <xf numFmtId="166" fontId="8" fillId="0" borderId="11" xfId="1" applyNumberFormat="1" applyFont="1" applyBorder="1" applyAlignment="1">
      <alignment horizontal="right" vertical="center" readingOrder="2"/>
    </xf>
    <xf numFmtId="167" fontId="14" fillId="3" borderId="23" xfId="0" applyNumberFormat="1" applyFont="1" applyFill="1" applyBorder="1" applyAlignment="1">
      <alignment wrapText="1"/>
    </xf>
    <xf numFmtId="0" fontId="20" fillId="0" borderId="64" xfId="0" applyFont="1" applyFill="1" applyBorder="1"/>
    <xf numFmtId="0" fontId="50" fillId="0" borderId="6" xfId="0" applyFont="1" applyFill="1" applyBorder="1" applyAlignment="1"/>
    <xf numFmtId="175" fontId="35" fillId="0" borderId="9" xfId="1" applyNumberFormat="1" applyFont="1" applyBorder="1" applyAlignment="1">
      <alignment horizontal="center"/>
    </xf>
    <xf numFmtId="0" fontId="20" fillId="0" borderId="11" xfId="0" applyFont="1" applyFill="1" applyBorder="1" applyAlignment="1"/>
    <xf numFmtId="175" fontId="54" fillId="0" borderId="11" xfId="1" applyNumberFormat="1" applyFont="1" applyBorder="1" applyAlignment="1">
      <alignment horizontal="right" vertical="center" wrapText="1"/>
    </xf>
    <xf numFmtId="170" fontId="11" fillId="3" borderId="25" xfId="5" applyNumberFormat="1" applyFont="1" applyFill="1" applyBorder="1" applyAlignment="1"/>
    <xf numFmtId="170" fontId="14" fillId="3" borderId="23" xfId="0" applyNumberFormat="1" applyFont="1" applyFill="1" applyBorder="1" applyAlignment="1"/>
    <xf numFmtId="166" fontId="0" fillId="0" borderId="0" xfId="0" applyNumberFormat="1" applyAlignment="1">
      <alignment horizontal="right" wrapText="1" readingOrder="2"/>
    </xf>
    <xf numFmtId="0" fontId="1" fillId="0" borderId="0" xfId="0" applyFont="1" applyFill="1" applyAlignment="1">
      <alignment horizontal="right" readingOrder="2"/>
    </xf>
    <xf numFmtId="0" fontId="91" fillId="0" borderId="0" xfId="0" applyFont="1"/>
    <xf numFmtId="0" fontId="92" fillId="0" borderId="0" xfId="3" applyFont="1" applyFill="1" applyBorder="1" applyAlignment="1">
      <alignment horizontal="right" vertical="center" readingOrder="1"/>
    </xf>
    <xf numFmtId="43" fontId="39" fillId="0" borderId="10" xfId="1" applyFont="1" applyFill="1" applyBorder="1" applyAlignment="1">
      <alignment vertical="center" wrapText="1"/>
    </xf>
    <xf numFmtId="43" fontId="35" fillId="0" borderId="10" xfId="1" applyFont="1" applyBorder="1" applyAlignment="1">
      <alignment horizontal="center"/>
    </xf>
    <xf numFmtId="1" fontId="6" fillId="6" borderId="10" xfId="0" applyNumberFormat="1" applyFont="1" applyFill="1" applyBorder="1"/>
    <xf numFmtId="0" fontId="52" fillId="0" borderId="10" xfId="0" applyFont="1" applyFill="1" applyBorder="1" applyAlignment="1">
      <alignment horizontal="right" wrapText="1" readingOrder="2"/>
    </xf>
    <xf numFmtId="0" fontId="52" fillId="0" borderId="10" xfId="0" applyFont="1" applyFill="1" applyBorder="1" applyAlignment="1">
      <alignment wrapText="1"/>
    </xf>
    <xf numFmtId="0" fontId="23" fillId="0" borderId="5" xfId="0" applyFont="1" applyBorder="1" applyAlignment="1">
      <alignment horizontal="center"/>
    </xf>
    <xf numFmtId="43" fontId="39" fillId="0" borderId="10" xfId="1" applyFont="1" applyBorder="1" applyAlignment="1">
      <alignment horizontal="center"/>
    </xf>
    <xf numFmtId="170" fontId="29" fillId="0" borderId="21" xfId="0" applyNumberFormat="1" applyFont="1" applyFill="1" applyBorder="1"/>
    <xf numFmtId="0" fontId="29" fillId="0" borderId="71" xfId="0" applyFont="1" applyFill="1" applyBorder="1" applyAlignment="1">
      <alignment horizontal="right" vertical="center"/>
    </xf>
    <xf numFmtId="0" fontId="29" fillId="0" borderId="58" xfId="0" applyFont="1" applyFill="1" applyBorder="1" applyAlignment="1">
      <alignment horizontal="right" vertical="center"/>
    </xf>
    <xf numFmtId="170" fontId="29" fillId="0" borderId="12" xfId="0" applyNumberFormat="1" applyFont="1" applyFill="1" applyBorder="1"/>
    <xf numFmtId="0" fontId="39" fillId="0" borderId="35" xfId="0" applyFont="1" applyBorder="1"/>
    <xf numFmtId="166" fontId="39" fillId="3" borderId="22" xfId="1" applyNumberFormat="1" applyFont="1" applyFill="1" applyBorder="1"/>
    <xf numFmtId="0" fontId="29" fillId="13" borderId="4" xfId="3" applyFont="1" applyFill="1" applyBorder="1" applyAlignment="1">
      <alignment horizontal="right" vertical="center" wrapText="1" readingOrder="1"/>
    </xf>
    <xf numFmtId="0" fontId="23" fillId="3" borderId="9" xfId="0" applyFont="1" applyFill="1" applyBorder="1"/>
    <xf numFmtId="0" fontId="23" fillId="0" borderId="9" xfId="0" applyFont="1" applyFill="1" applyBorder="1" applyAlignment="1">
      <alignment horizontal="right" wrapText="1" readingOrder="2"/>
    </xf>
    <xf numFmtId="0" fontId="29" fillId="0" borderId="9" xfId="0" applyFont="1" applyFill="1" applyBorder="1" applyAlignment="1">
      <alignment horizontal="right" wrapText="1" readingOrder="2"/>
    </xf>
    <xf numFmtId="170" fontId="19" fillId="0" borderId="9" xfId="1" applyNumberFormat="1" applyFont="1" applyBorder="1" applyAlignment="1">
      <alignment horizontal="right" vertical="center" wrapText="1"/>
    </xf>
    <xf numFmtId="170" fontId="23" fillId="3" borderId="25" xfId="5" applyNumberFormat="1" applyFont="1" applyFill="1" applyBorder="1"/>
    <xf numFmtId="0" fontId="39" fillId="0" borderId="71" xfId="0" applyFont="1" applyBorder="1"/>
    <xf numFmtId="0" fontId="39" fillId="0" borderId="58" xfId="0" applyFont="1" applyBorder="1"/>
    <xf numFmtId="170" fontId="39" fillId="0" borderId="37" xfId="5" applyNumberFormat="1" applyFont="1" applyBorder="1" applyAlignment="1">
      <alignment horizontal="center" wrapText="1" readingOrder="2"/>
    </xf>
    <xf numFmtId="170" fontId="39" fillId="0" borderId="55" xfId="5" applyNumberFormat="1" applyFont="1" applyBorder="1" applyAlignment="1">
      <alignment horizontal="center" wrapText="1" readingOrder="2"/>
    </xf>
    <xf numFmtId="0" fontId="39" fillId="0" borderId="55" xfId="0" applyFont="1" applyBorder="1"/>
    <xf numFmtId="166" fontId="39" fillId="0" borderId="55" xfId="1" applyNumberFormat="1" applyFont="1" applyBorder="1"/>
    <xf numFmtId="166" fontId="19" fillId="3" borderId="22" xfId="1" applyNumberFormat="1" applyFont="1" applyFill="1" applyBorder="1"/>
    <xf numFmtId="0" fontId="76" fillId="0" borderId="30" xfId="0" applyFont="1" applyFill="1" applyBorder="1" applyAlignment="1">
      <alignment wrapText="1"/>
    </xf>
    <xf numFmtId="0" fontId="68" fillId="23" borderId="69" xfId="0" applyFont="1" applyFill="1" applyBorder="1" applyAlignment="1">
      <alignment horizontal="center" vertical="center"/>
    </xf>
    <xf numFmtId="0" fontId="68" fillId="23" borderId="27" xfId="0" applyFont="1" applyFill="1" applyBorder="1" applyAlignment="1">
      <alignment horizontal="center" vertical="center"/>
    </xf>
    <xf numFmtId="0" fontId="68" fillId="23" borderId="28" xfId="0" applyFont="1" applyFill="1" applyBorder="1" applyAlignment="1">
      <alignment horizontal="center" vertical="center"/>
    </xf>
    <xf numFmtId="0" fontId="68" fillId="6" borderId="69" xfId="0" applyFont="1" applyFill="1" applyBorder="1" applyAlignment="1">
      <alignment horizontal="center" vertical="center"/>
    </xf>
    <xf numFmtId="0" fontId="68" fillId="6" borderId="27" xfId="0" applyFont="1" applyFill="1" applyBorder="1" applyAlignment="1">
      <alignment horizontal="center" vertical="center"/>
    </xf>
    <xf numFmtId="0" fontId="68" fillId="6" borderId="28" xfId="0" applyFont="1" applyFill="1" applyBorder="1" applyAlignment="1">
      <alignment horizontal="center" vertical="center"/>
    </xf>
    <xf numFmtId="170" fontId="68" fillId="6" borderId="59" xfId="1" applyNumberFormat="1" applyFont="1" applyFill="1" applyBorder="1" applyAlignment="1">
      <alignment horizontal="center" vertical="center"/>
    </xf>
    <xf numFmtId="170" fontId="68" fillId="6" borderId="64" xfId="1" applyNumberFormat="1" applyFont="1" applyFill="1" applyBorder="1" applyAlignment="1">
      <alignment horizontal="center" vertical="center"/>
    </xf>
    <xf numFmtId="170" fontId="68" fillId="6" borderId="41" xfId="1" applyNumberFormat="1" applyFont="1" applyFill="1" applyBorder="1" applyAlignment="1">
      <alignment horizontal="center" vertical="center"/>
    </xf>
    <xf numFmtId="170" fontId="68" fillId="6" borderId="71" xfId="1" applyNumberFormat="1" applyFont="1" applyFill="1" applyBorder="1" applyAlignment="1">
      <alignment horizontal="center" vertical="center"/>
    </xf>
    <xf numFmtId="170" fontId="68" fillId="6" borderId="47" xfId="1" applyNumberFormat="1" applyFont="1" applyFill="1" applyBorder="1" applyAlignment="1">
      <alignment horizontal="center" vertical="center"/>
    </xf>
    <xf numFmtId="170" fontId="68" fillId="6" borderId="48" xfId="1" applyNumberFormat="1" applyFont="1" applyFill="1" applyBorder="1" applyAlignment="1">
      <alignment horizontal="center" vertical="center"/>
    </xf>
    <xf numFmtId="170" fontId="68" fillId="6" borderId="69" xfId="1" applyNumberFormat="1" applyFont="1" applyFill="1" applyBorder="1" applyAlignment="1">
      <alignment horizontal="center" vertical="center"/>
    </xf>
    <xf numFmtId="170" fontId="68" fillId="6" borderId="27" xfId="1" applyNumberFormat="1" applyFont="1" applyFill="1" applyBorder="1" applyAlignment="1">
      <alignment horizontal="center" vertical="center"/>
    </xf>
    <xf numFmtId="170" fontId="68" fillId="6" borderId="28" xfId="1" applyNumberFormat="1" applyFont="1" applyFill="1" applyBorder="1" applyAlignment="1">
      <alignment horizontal="center" vertical="center"/>
    </xf>
    <xf numFmtId="0" fontId="13" fillId="3" borderId="18" xfId="9" applyFont="1" applyFill="1" applyBorder="1" applyAlignment="1">
      <alignment horizontal="center" vertical="center" textRotation="1" wrapText="1"/>
    </xf>
    <xf numFmtId="0" fontId="13" fillId="3" borderId="66" xfId="9" applyFont="1" applyFill="1" applyBorder="1" applyAlignment="1">
      <alignment horizontal="center" vertical="center" textRotation="1" wrapText="1"/>
    </xf>
    <xf numFmtId="0" fontId="13" fillId="3" borderId="33" xfId="9" applyFont="1" applyFill="1" applyBorder="1" applyAlignment="1">
      <alignment horizontal="center" vertical="center" textRotation="1" wrapText="1"/>
    </xf>
    <xf numFmtId="0" fontId="5" fillId="3" borderId="1" xfId="9" applyFill="1" applyBorder="1" applyAlignment="1">
      <alignment horizontal="center" vertical="center" wrapText="1"/>
    </xf>
    <xf numFmtId="0" fontId="5" fillId="3" borderId="20" xfId="9" applyFill="1" applyBorder="1" applyAlignment="1">
      <alignment horizontal="center" vertical="center" wrapText="1"/>
    </xf>
    <xf numFmtId="0" fontId="5" fillId="3" borderId="21" xfId="9" applyFill="1" applyBorder="1" applyAlignment="1">
      <alignment horizontal="center" vertical="center" wrapText="1"/>
    </xf>
    <xf numFmtId="0" fontId="13" fillId="3" borderId="76" xfId="9" applyFont="1" applyFill="1" applyBorder="1" applyAlignment="1">
      <alignment horizontal="center" vertical="center" textRotation="1" wrapText="1"/>
    </xf>
    <xf numFmtId="0" fontId="13" fillId="3" borderId="77" xfId="9" applyFont="1" applyFill="1" applyBorder="1" applyAlignment="1">
      <alignment horizontal="center" vertical="center" textRotation="1" wrapText="1"/>
    </xf>
    <xf numFmtId="0" fontId="13" fillId="3" borderId="52" xfId="9" applyFont="1" applyFill="1" applyBorder="1" applyAlignment="1">
      <alignment horizontal="center" vertical="center" textRotation="1" wrapText="1"/>
    </xf>
    <xf numFmtId="0" fontId="5" fillId="3" borderId="18" xfId="9" applyFill="1" applyBorder="1" applyAlignment="1">
      <alignment horizontal="center" vertical="center" wrapText="1"/>
    </xf>
    <xf numFmtId="0" fontId="5" fillId="3" borderId="66" xfId="9" applyFill="1" applyBorder="1" applyAlignment="1">
      <alignment horizontal="center" vertical="center" wrapText="1"/>
    </xf>
    <xf numFmtId="0" fontId="5" fillId="3" borderId="13" xfId="9" applyFill="1" applyBorder="1" applyAlignment="1">
      <alignment horizontal="center" vertical="center" wrapText="1"/>
    </xf>
    <xf numFmtId="0" fontId="5" fillId="3" borderId="8" xfId="9" applyFill="1" applyBorder="1" applyAlignment="1">
      <alignment horizontal="center" vertical="center" wrapText="1"/>
    </xf>
    <xf numFmtId="0" fontId="5" fillId="3" borderId="7" xfId="9" applyFill="1" applyBorder="1" applyAlignment="1">
      <alignment horizontal="center" vertical="center" wrapText="1"/>
    </xf>
    <xf numFmtId="0" fontId="5" fillId="3" borderId="8" xfId="9" applyFill="1" applyBorder="1" applyAlignment="1">
      <alignment horizontal="center" vertical="center"/>
    </xf>
    <xf numFmtId="0" fontId="5" fillId="3" borderId="21" xfId="9" applyFill="1" applyBorder="1" applyAlignment="1">
      <alignment horizontal="center" vertical="center"/>
    </xf>
    <xf numFmtId="0" fontId="5" fillId="3" borderId="7" xfId="9" applyFill="1" applyBorder="1" applyAlignment="1">
      <alignment horizontal="center" vertical="center"/>
    </xf>
    <xf numFmtId="0" fontId="5" fillId="3" borderId="13" xfId="9" applyFill="1" applyBorder="1" applyAlignment="1">
      <alignment horizontal="center" vertical="center"/>
    </xf>
    <xf numFmtId="0" fontId="5" fillId="3" borderId="20" xfId="9" applyFill="1" applyBorder="1" applyAlignment="1">
      <alignment horizontal="center" vertical="center"/>
    </xf>
    <xf numFmtId="0" fontId="5" fillId="3" borderId="66" xfId="9" applyFill="1" applyBorder="1" applyAlignment="1">
      <alignment horizontal="center" vertical="center"/>
    </xf>
    <xf numFmtId="0" fontId="0" fillId="3" borderId="7" xfId="0" applyFill="1" applyBorder="1" applyAlignment="1">
      <alignment horizontal="center" vertical="center" wrapText="1"/>
    </xf>
    <xf numFmtId="0" fontId="0" fillId="3" borderId="13" xfId="0" applyFill="1" applyBorder="1" applyAlignment="1">
      <alignment horizontal="center" vertical="center" wrapText="1"/>
    </xf>
    <xf numFmtId="0" fontId="0" fillId="3" borderId="7" xfId="0" applyFill="1" applyBorder="1" applyAlignment="1">
      <alignment horizontal="center" vertical="center"/>
    </xf>
    <xf numFmtId="0" fontId="0" fillId="3" borderId="66" xfId="0" applyFill="1" applyBorder="1" applyAlignment="1">
      <alignment horizontal="center" vertical="center"/>
    </xf>
    <xf numFmtId="0" fontId="0" fillId="3" borderId="13" xfId="0" applyFill="1" applyBorder="1" applyAlignment="1">
      <alignment horizontal="center" vertical="center"/>
    </xf>
    <xf numFmtId="0" fontId="14" fillId="2" borderId="18" xfId="9" applyFont="1" applyFill="1" applyBorder="1" applyAlignment="1">
      <alignment horizontal="center" vertical="center"/>
    </xf>
    <xf numFmtId="0" fontId="14" fillId="2" borderId="66" xfId="9" applyFont="1" applyFill="1" applyBorder="1" applyAlignment="1">
      <alignment horizontal="center" vertical="center"/>
    </xf>
    <xf numFmtId="0" fontId="14" fillId="2" borderId="33" xfId="9" applyFont="1" applyFill="1" applyBorder="1" applyAlignment="1">
      <alignment horizontal="center" vertical="center"/>
    </xf>
    <xf numFmtId="0" fontId="5" fillId="2" borderId="1" xfId="9" applyFont="1" applyFill="1" applyBorder="1" applyAlignment="1">
      <alignment horizontal="center" vertical="center"/>
    </xf>
    <xf numFmtId="0" fontId="5" fillId="2" borderId="20" xfId="9" applyFont="1" applyFill="1" applyBorder="1" applyAlignment="1">
      <alignment horizontal="center" vertical="center"/>
    </xf>
    <xf numFmtId="0" fontId="5" fillId="2" borderId="21" xfId="9" applyFont="1" applyFill="1" applyBorder="1" applyAlignment="1">
      <alignment horizontal="center" vertical="center"/>
    </xf>
    <xf numFmtId="0" fontId="14" fillId="2" borderId="76" xfId="9" applyFont="1" applyFill="1" applyBorder="1" applyAlignment="1">
      <alignment horizontal="center" vertical="center"/>
    </xf>
    <xf numFmtId="0" fontId="14" fillId="2" borderId="77" xfId="9" applyFont="1" applyFill="1" applyBorder="1" applyAlignment="1">
      <alignment horizontal="center" vertical="center"/>
    </xf>
    <xf numFmtId="0" fontId="14" fillId="2" borderId="52" xfId="9" applyFont="1" applyFill="1" applyBorder="1" applyAlignment="1">
      <alignment horizontal="center" vertical="center"/>
    </xf>
    <xf numFmtId="0" fontId="5" fillId="2" borderId="18" xfId="9" applyFont="1" applyFill="1" applyBorder="1" applyAlignment="1">
      <alignment horizontal="center" vertical="center"/>
    </xf>
    <xf numFmtId="0" fontId="5" fillId="2" borderId="66" xfId="9" applyFont="1" applyFill="1" applyBorder="1" applyAlignment="1">
      <alignment horizontal="center" vertical="center"/>
    </xf>
    <xf numFmtId="0" fontId="5" fillId="2" borderId="13" xfId="9" applyFont="1" applyFill="1" applyBorder="1" applyAlignment="1">
      <alignment horizontal="center" vertical="center"/>
    </xf>
    <xf numFmtId="0" fontId="5" fillId="2" borderId="8" xfId="9" applyFill="1" applyBorder="1" applyAlignment="1">
      <alignment horizontal="center" vertical="center" wrapText="1"/>
    </xf>
    <xf numFmtId="0" fontId="5" fillId="2" borderId="21" xfId="9" applyFill="1" applyBorder="1" applyAlignment="1">
      <alignment horizontal="center" vertical="center" wrapText="1"/>
    </xf>
    <xf numFmtId="0" fontId="5" fillId="2" borderId="7" xfId="9" applyFill="1" applyBorder="1" applyAlignment="1">
      <alignment horizontal="center" vertical="center" wrapText="1"/>
    </xf>
    <xf numFmtId="0" fontId="5" fillId="2" borderId="13" xfId="9" applyFill="1" applyBorder="1" applyAlignment="1">
      <alignment horizontal="center" vertical="center" wrapText="1"/>
    </xf>
    <xf numFmtId="0" fontId="5" fillId="2" borderId="8" xfId="9" applyFill="1" applyBorder="1" applyAlignment="1">
      <alignment horizontal="center" vertical="center"/>
    </xf>
    <xf numFmtId="0" fontId="5" fillId="2" borderId="20" xfId="9" applyFill="1" applyBorder="1" applyAlignment="1">
      <alignment horizontal="center" vertical="center"/>
    </xf>
    <xf numFmtId="0" fontId="5" fillId="2" borderId="21" xfId="9" applyFill="1" applyBorder="1" applyAlignment="1">
      <alignment horizontal="center" vertical="center"/>
    </xf>
    <xf numFmtId="0" fontId="5" fillId="2" borderId="7" xfId="9" applyFill="1" applyBorder="1" applyAlignment="1">
      <alignment horizontal="center" vertical="center"/>
    </xf>
    <xf numFmtId="0" fontId="5" fillId="2" borderId="66" xfId="9" applyFill="1" applyBorder="1" applyAlignment="1">
      <alignment horizontal="center" vertical="center"/>
    </xf>
    <xf numFmtId="0" fontId="5" fillId="2" borderId="13" xfId="9" applyFill="1" applyBorder="1" applyAlignment="1">
      <alignment horizontal="center" vertical="center"/>
    </xf>
    <xf numFmtId="0" fontId="12" fillId="3" borderId="3" xfId="0" applyFont="1" applyFill="1" applyBorder="1" applyAlignment="1">
      <alignment horizontal="center" vertical="center"/>
    </xf>
    <xf numFmtId="0" fontId="12" fillId="3" borderId="24" xfId="0" applyFont="1" applyFill="1" applyBorder="1" applyAlignment="1">
      <alignment horizontal="center" vertical="center"/>
    </xf>
    <xf numFmtId="0" fontId="12" fillId="3" borderId="14" xfId="0" applyFont="1" applyFill="1" applyBorder="1" applyAlignment="1">
      <alignment horizontal="center" vertical="center"/>
    </xf>
    <xf numFmtId="0" fontId="0" fillId="3" borderId="18" xfId="0" applyFill="1" applyBorder="1" applyAlignment="1">
      <alignment horizontal="center" vertical="center" wrapText="1"/>
    </xf>
    <xf numFmtId="0" fontId="0" fillId="3" borderId="66" xfId="0" applyFill="1" applyBorder="1" applyAlignment="1">
      <alignment horizontal="center" vertical="center" wrapText="1"/>
    </xf>
    <xf numFmtId="0" fontId="14" fillId="5" borderId="18" xfId="9" applyFont="1" applyFill="1" applyBorder="1" applyAlignment="1">
      <alignment horizontal="center" vertical="center"/>
    </xf>
    <xf numFmtId="0" fontId="14" fillId="5" borderId="66" xfId="9" applyFont="1" applyFill="1" applyBorder="1" applyAlignment="1">
      <alignment horizontal="center" vertical="center"/>
    </xf>
    <xf numFmtId="0" fontId="14" fillId="5" borderId="33" xfId="9" applyFont="1" applyFill="1" applyBorder="1" applyAlignment="1">
      <alignment horizontal="center" vertical="center"/>
    </xf>
    <xf numFmtId="0" fontId="14" fillId="5" borderId="76" xfId="9" applyFont="1" applyFill="1" applyBorder="1" applyAlignment="1">
      <alignment horizontal="center" vertical="center"/>
    </xf>
    <xf numFmtId="0" fontId="14" fillId="5" borderId="77" xfId="9" applyFont="1" applyFill="1" applyBorder="1" applyAlignment="1">
      <alignment horizontal="center" vertical="center"/>
    </xf>
    <xf numFmtId="0" fontId="14" fillId="5" borderId="52" xfId="9" applyFont="1" applyFill="1" applyBorder="1" applyAlignment="1">
      <alignment horizontal="center" vertical="center"/>
    </xf>
    <xf numFmtId="0" fontId="5" fillId="5" borderId="8" xfId="9" applyFill="1" applyBorder="1" applyAlignment="1">
      <alignment horizontal="center" vertical="center" wrapText="1"/>
    </xf>
    <xf numFmtId="0" fontId="5" fillId="5" borderId="21" xfId="9" applyFill="1" applyBorder="1" applyAlignment="1">
      <alignment horizontal="center" vertical="center" wrapText="1"/>
    </xf>
    <xf numFmtId="0" fontId="5" fillId="5" borderId="7" xfId="9" applyFill="1" applyBorder="1" applyAlignment="1">
      <alignment horizontal="center" vertical="center" wrapText="1"/>
    </xf>
    <xf numFmtId="0" fontId="5" fillId="5" borderId="13" xfId="9" applyFill="1" applyBorder="1" applyAlignment="1">
      <alignment horizontal="center" vertical="center" wrapText="1"/>
    </xf>
    <xf numFmtId="0" fontId="17" fillId="11" borderId="18" xfId="9" applyFont="1" applyFill="1" applyBorder="1" applyAlignment="1">
      <alignment horizontal="center" vertical="center" wrapText="1"/>
    </xf>
    <xf numFmtId="0" fontId="17" fillId="11" borderId="66" xfId="9" applyFont="1" applyFill="1" applyBorder="1" applyAlignment="1">
      <alignment horizontal="center" vertical="center" wrapText="1"/>
    </xf>
    <xf numFmtId="0" fontId="17" fillId="11" borderId="76" xfId="9" applyFont="1" applyFill="1" applyBorder="1" applyAlignment="1">
      <alignment horizontal="center" vertical="center" wrapText="1"/>
    </xf>
    <xf numFmtId="0" fontId="17" fillId="11" borderId="77" xfId="9" applyFont="1" applyFill="1" applyBorder="1" applyAlignment="1">
      <alignment horizontal="center" vertical="center" wrapText="1"/>
    </xf>
    <xf numFmtId="0" fontId="17" fillId="11" borderId="52" xfId="9" applyFont="1" applyFill="1" applyBorder="1" applyAlignment="1">
      <alignment horizontal="center" vertical="center" wrapText="1"/>
    </xf>
    <xf numFmtId="0" fontId="5" fillId="11" borderId="8" xfId="9" applyFill="1" applyBorder="1" applyAlignment="1">
      <alignment horizontal="center" vertical="center" wrapText="1"/>
    </xf>
    <xf numFmtId="0" fontId="5" fillId="11" borderId="21" xfId="9" applyFill="1" applyBorder="1" applyAlignment="1">
      <alignment horizontal="center" vertical="center" wrapText="1"/>
    </xf>
    <xf numFmtId="0" fontId="5" fillId="11" borderId="7" xfId="9" applyFill="1" applyBorder="1" applyAlignment="1">
      <alignment horizontal="center" vertical="center" wrapText="1"/>
    </xf>
    <xf numFmtId="0" fontId="5" fillId="11" borderId="13" xfId="9" applyFill="1" applyBorder="1" applyAlignment="1">
      <alignment horizontal="center" vertical="center" wrapText="1"/>
    </xf>
    <xf numFmtId="0" fontId="17" fillId="8" borderId="76" xfId="9" applyFont="1" applyFill="1" applyBorder="1" applyAlignment="1">
      <alignment horizontal="center" vertical="center" wrapText="1"/>
    </xf>
    <xf numFmtId="0" fontId="17" fillId="8" borderId="77" xfId="9" applyFont="1" applyFill="1" applyBorder="1" applyAlignment="1">
      <alignment horizontal="center" vertical="center" wrapText="1"/>
    </xf>
    <xf numFmtId="0" fontId="17" fillId="8" borderId="52" xfId="9" applyFont="1" applyFill="1" applyBorder="1" applyAlignment="1">
      <alignment horizontal="center" vertical="center" wrapText="1"/>
    </xf>
    <xf numFmtId="0" fontId="17" fillId="12" borderId="76" xfId="9" applyFont="1" applyFill="1" applyBorder="1" applyAlignment="1">
      <alignment horizontal="center" vertical="center" wrapText="1"/>
    </xf>
    <xf numFmtId="0" fontId="17" fillId="12" borderId="52" xfId="9" applyFont="1" applyFill="1" applyBorder="1" applyAlignment="1">
      <alignment horizontal="center" vertical="center" wrapText="1"/>
    </xf>
    <xf numFmtId="0" fontId="17" fillId="0" borderId="0" xfId="9" applyFont="1" applyAlignment="1">
      <alignment horizontal="center" vertical="center" wrapText="1"/>
    </xf>
    <xf numFmtId="0" fontId="17" fillId="3" borderId="76" xfId="0" applyFont="1" applyFill="1" applyBorder="1" applyAlignment="1">
      <alignment horizontal="center" vertical="center" wrapText="1"/>
    </xf>
    <xf numFmtId="0" fontId="17" fillId="3" borderId="77" xfId="0" applyFont="1" applyFill="1" applyBorder="1" applyAlignment="1">
      <alignment horizontal="center" vertical="center" wrapText="1"/>
    </xf>
    <xf numFmtId="0" fontId="17" fillId="3" borderId="52" xfId="0" applyFont="1" applyFill="1" applyBorder="1" applyAlignment="1">
      <alignment horizontal="center" vertical="center" wrapText="1"/>
    </xf>
    <xf numFmtId="0" fontId="17" fillId="24" borderId="76" xfId="9" applyFont="1" applyFill="1" applyBorder="1" applyAlignment="1">
      <alignment horizontal="center" vertical="center" wrapText="1"/>
    </xf>
    <xf numFmtId="0" fontId="17" fillId="24" borderId="77" xfId="9" applyFont="1" applyFill="1" applyBorder="1" applyAlignment="1">
      <alignment horizontal="center" vertical="center" wrapText="1"/>
    </xf>
    <xf numFmtId="0" fontId="17" fillId="24" borderId="50" xfId="9" applyFont="1" applyFill="1" applyBorder="1" applyAlignment="1">
      <alignment horizontal="center" vertical="center" wrapText="1"/>
    </xf>
    <xf numFmtId="0" fontId="17" fillId="2" borderId="12" xfId="9" applyFont="1" applyFill="1" applyBorder="1" applyAlignment="1">
      <alignment horizontal="center" vertical="center" wrapText="1"/>
    </xf>
    <xf numFmtId="0" fontId="17" fillId="2" borderId="24" xfId="9" applyFont="1" applyFill="1" applyBorder="1" applyAlignment="1">
      <alignment horizontal="center" vertical="center" wrapText="1"/>
    </xf>
    <xf numFmtId="0" fontId="17" fillId="2" borderId="14" xfId="9" applyFont="1" applyFill="1" applyBorder="1" applyAlignment="1">
      <alignment horizontal="center" vertical="center" wrapText="1"/>
    </xf>
    <xf numFmtId="0" fontId="5" fillId="2" borderId="7" xfId="9" applyFont="1" applyFill="1" applyBorder="1" applyAlignment="1">
      <alignment horizontal="center"/>
    </xf>
    <xf numFmtId="0" fontId="5" fillId="2" borderId="13" xfId="9" applyFont="1" applyFill="1" applyBorder="1" applyAlignment="1">
      <alignment horizontal="center"/>
    </xf>
    <xf numFmtId="0" fontId="17" fillId="10" borderId="76" xfId="9" applyFont="1" applyFill="1" applyBorder="1" applyAlignment="1">
      <alignment horizontal="center" vertical="center" wrapText="1"/>
    </xf>
    <xf numFmtId="0" fontId="17" fillId="10" borderId="77" xfId="9" applyFont="1" applyFill="1" applyBorder="1" applyAlignment="1">
      <alignment horizontal="center" vertical="center" wrapText="1"/>
    </xf>
    <xf numFmtId="0" fontId="17" fillId="10" borderId="52" xfId="9" applyFont="1" applyFill="1" applyBorder="1" applyAlignment="1">
      <alignment horizontal="center" vertical="center" wrapText="1"/>
    </xf>
    <xf numFmtId="0" fontId="17" fillId="22" borderId="76" xfId="9" applyFont="1" applyFill="1" applyBorder="1" applyAlignment="1">
      <alignment horizontal="center" vertical="center" wrapText="1"/>
    </xf>
    <xf numFmtId="0" fontId="17" fillId="22" borderId="52" xfId="9" applyFont="1" applyFill="1" applyBorder="1" applyAlignment="1">
      <alignment horizontal="center" vertical="center" wrapText="1"/>
    </xf>
    <xf numFmtId="0" fontId="17" fillId="2" borderId="76" xfId="9" applyFont="1" applyFill="1" applyBorder="1" applyAlignment="1">
      <alignment horizontal="center" vertical="center" wrapText="1"/>
    </xf>
    <xf numFmtId="0" fontId="17" fillId="2" borderId="52" xfId="9"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11" borderId="4" xfId="0" applyFont="1" applyFill="1" applyBorder="1" applyAlignment="1">
      <alignment horizontal="center" vertical="center" wrapText="1"/>
    </xf>
    <xf numFmtId="0" fontId="17" fillId="11" borderId="9" xfId="0" applyFont="1" applyFill="1" applyBorder="1" applyAlignment="1">
      <alignment horizontal="center" vertical="center" wrapText="1"/>
    </xf>
    <xf numFmtId="0" fontId="17" fillId="11" borderId="25" xfId="0" applyFont="1" applyFill="1" applyBorder="1" applyAlignment="1">
      <alignment horizontal="center" vertical="center" wrapText="1"/>
    </xf>
    <xf numFmtId="0" fontId="0" fillId="11" borderId="10" xfId="0"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17" fillId="6" borderId="9"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19" borderId="66" xfId="0" applyFont="1" applyFill="1" applyBorder="1" applyAlignment="1">
      <alignment horizontal="center" vertical="center" wrapText="1"/>
    </xf>
    <xf numFmtId="0" fontId="17" fillId="19" borderId="33" xfId="0" applyFont="1" applyFill="1" applyBorder="1" applyAlignment="1">
      <alignment horizontal="center" vertical="center" wrapText="1"/>
    </xf>
    <xf numFmtId="0" fontId="14" fillId="5" borderId="4" xfId="0" applyFont="1" applyFill="1" applyBorder="1" applyAlignment="1">
      <alignment horizontal="center" vertical="center"/>
    </xf>
    <xf numFmtId="0" fontId="14" fillId="5" borderId="9" xfId="0" applyFont="1" applyFill="1" applyBorder="1" applyAlignment="1">
      <alignment horizontal="center" vertical="center"/>
    </xf>
    <xf numFmtId="0" fontId="14" fillId="5" borderId="25" xfId="0" applyFont="1" applyFill="1" applyBorder="1" applyAlignment="1">
      <alignment horizontal="center" vertical="center"/>
    </xf>
    <xf numFmtId="0" fontId="0" fillId="5" borderId="10" xfId="0" applyFill="1" applyBorder="1" applyAlignment="1">
      <alignment horizontal="center" vertical="center"/>
    </xf>
    <xf numFmtId="0" fontId="0" fillId="5" borderId="10" xfId="0" applyFill="1" applyBorder="1" applyAlignment="1">
      <alignment horizontal="center" vertical="center" wrapText="1"/>
    </xf>
    <xf numFmtId="0" fontId="13" fillId="3" borderId="4" xfId="0" applyFont="1" applyFill="1" applyBorder="1" applyAlignment="1">
      <alignment horizontal="center" vertical="center" textRotation="1" wrapText="1"/>
    </xf>
    <xf numFmtId="0" fontId="13" fillId="3" borderId="13" xfId="0" applyFont="1" applyFill="1" applyBorder="1" applyAlignment="1">
      <alignment horizontal="center" vertical="center" textRotation="1" wrapText="1"/>
    </xf>
    <xf numFmtId="0" fontId="13" fillId="3" borderId="9" xfId="0" applyFont="1" applyFill="1" applyBorder="1" applyAlignment="1">
      <alignment horizontal="center" vertical="center" textRotation="1" wrapText="1"/>
    </xf>
    <xf numFmtId="0" fontId="13" fillId="3" borderId="7" xfId="0" applyFont="1" applyFill="1" applyBorder="1" applyAlignment="1">
      <alignment horizontal="center" vertical="center" textRotation="1" wrapText="1"/>
    </xf>
    <xf numFmtId="0" fontId="13" fillId="3" borderId="25" xfId="0" applyFont="1" applyFill="1" applyBorder="1" applyAlignment="1">
      <alignment horizontal="center" vertical="center" textRotation="1" wrapText="1"/>
    </xf>
    <xf numFmtId="0" fontId="0" fillId="3" borderId="1" xfId="0" applyFill="1" applyBorder="1" applyAlignment="1">
      <alignment horizontal="center" vertical="center" wrapText="1"/>
    </xf>
    <xf numFmtId="0" fontId="0" fillId="3" borderId="20" xfId="0" applyFill="1" applyBorder="1" applyAlignment="1">
      <alignment horizontal="center" vertical="center" wrapText="1"/>
    </xf>
    <xf numFmtId="0" fontId="0" fillId="3" borderId="21" xfId="0" applyFill="1" applyBorder="1" applyAlignment="1">
      <alignment horizontal="center" vertical="center" wrapText="1"/>
    </xf>
    <xf numFmtId="0" fontId="0" fillId="3" borderId="8" xfId="0" applyFill="1" applyBorder="1" applyAlignment="1">
      <alignment horizontal="center" vertical="center" wrapText="1"/>
    </xf>
    <xf numFmtId="0" fontId="0" fillId="3" borderId="8" xfId="0" applyFill="1" applyBorder="1" applyAlignment="1">
      <alignment horizontal="center" vertical="center"/>
    </xf>
    <xf numFmtId="0" fontId="0" fillId="3" borderId="21" xfId="0" applyFill="1" applyBorder="1" applyAlignment="1">
      <alignment horizontal="center" vertical="center"/>
    </xf>
    <xf numFmtId="0" fontId="0" fillId="3" borderId="10" xfId="0" applyFill="1" applyBorder="1" applyAlignment="1">
      <alignment horizontal="center" vertical="center" wrapText="1"/>
    </xf>
    <xf numFmtId="0" fontId="0" fillId="3" borderId="10" xfId="0" applyFill="1" applyBorder="1" applyAlignment="1">
      <alignment horizontal="center" vertical="center"/>
    </xf>
    <xf numFmtId="0" fontId="14" fillId="2" borderId="4" xfId="0" applyFont="1" applyFill="1" applyBorder="1" applyAlignment="1">
      <alignment horizontal="center" vertical="center"/>
    </xf>
    <xf numFmtId="0" fontId="14" fillId="2" borderId="13"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25"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21" xfId="0" applyFont="1" applyFill="1" applyBorder="1" applyAlignment="1">
      <alignment horizontal="center" vertical="center"/>
    </xf>
    <xf numFmtId="0" fontId="16" fillId="2" borderId="10" xfId="0" applyFont="1" applyFill="1" applyBorder="1" applyAlignment="1">
      <alignment horizontal="center" vertical="center"/>
    </xf>
    <xf numFmtId="0" fontId="0" fillId="2" borderId="10" xfId="0" applyFill="1" applyBorder="1" applyAlignment="1">
      <alignment horizontal="center" vertical="center" wrapText="1"/>
    </xf>
    <xf numFmtId="0" fontId="0" fillId="2" borderId="10" xfId="0" applyFill="1" applyBorder="1" applyAlignment="1">
      <alignment horizontal="center" vertical="center"/>
    </xf>
    <xf numFmtId="0" fontId="17" fillId="2" borderId="25"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19" borderId="18" xfId="0" applyFont="1" applyFill="1" applyBorder="1" applyAlignment="1">
      <alignment horizontal="center" vertical="center" wrapText="1"/>
    </xf>
    <xf numFmtId="0" fontId="14" fillId="3" borderId="5" xfId="0" applyFont="1" applyFill="1" applyBorder="1" applyAlignment="1">
      <alignment horizontal="center" vertical="center" textRotation="255"/>
    </xf>
    <xf numFmtId="0" fontId="14" fillId="3" borderId="21" xfId="0" applyFont="1" applyFill="1" applyBorder="1" applyAlignment="1">
      <alignment horizontal="center" vertical="center" textRotation="255"/>
    </xf>
    <xf numFmtId="0" fontId="14" fillId="3" borderId="10" xfId="0" applyFont="1" applyFill="1" applyBorder="1" applyAlignment="1">
      <alignment horizontal="center" vertical="center" textRotation="255"/>
    </xf>
    <xf numFmtId="0" fontId="0" fillId="3" borderId="1" xfId="0" applyFill="1" applyBorder="1" applyAlignment="1">
      <alignment horizontal="right" vertical="center" wrapText="1"/>
    </xf>
    <xf numFmtId="0" fontId="0" fillId="3" borderId="20" xfId="0" applyFill="1" applyBorder="1" applyAlignment="1">
      <alignment horizontal="right" vertical="center" wrapText="1"/>
    </xf>
    <xf numFmtId="0" fontId="0" fillId="3" borderId="21" xfId="0" applyFill="1" applyBorder="1" applyAlignment="1">
      <alignment horizontal="right" vertical="center" wrapText="1"/>
    </xf>
    <xf numFmtId="0" fontId="0" fillId="3" borderId="8" xfId="0" applyFill="1" applyBorder="1" applyAlignment="1">
      <alignment horizontal="right" vertical="center" wrapText="1"/>
    </xf>
    <xf numFmtId="0" fontId="0" fillId="3" borderId="8" xfId="0" applyFill="1" applyBorder="1" applyAlignment="1">
      <alignment horizontal="right" vertical="center"/>
    </xf>
    <xf numFmtId="0" fontId="0" fillId="3" borderId="21" xfId="0" applyFill="1" applyBorder="1" applyAlignment="1">
      <alignment horizontal="right" vertical="center"/>
    </xf>
    <xf numFmtId="0" fontId="0" fillId="3" borderId="10" xfId="0" applyFill="1" applyBorder="1" applyAlignment="1">
      <alignment horizontal="right" vertical="center" wrapText="1"/>
    </xf>
    <xf numFmtId="0" fontId="0" fillId="3" borderId="10" xfId="0" applyFill="1" applyBorder="1" applyAlignment="1">
      <alignment horizontal="right" vertical="center"/>
    </xf>
    <xf numFmtId="0" fontId="17" fillId="10" borderId="4" xfId="0" applyFont="1" applyFill="1" applyBorder="1" applyAlignment="1">
      <alignment horizontal="center" vertical="center" wrapText="1"/>
    </xf>
    <xf numFmtId="0" fontId="17" fillId="10" borderId="9" xfId="0" applyFont="1" applyFill="1" applyBorder="1" applyAlignment="1">
      <alignment horizontal="center" vertical="center" wrapText="1"/>
    </xf>
    <xf numFmtId="0" fontId="17" fillId="10" borderId="25" xfId="0" applyFont="1" applyFill="1" applyBorder="1" applyAlignment="1">
      <alignment horizontal="center" vertical="center" wrapText="1"/>
    </xf>
    <xf numFmtId="0" fontId="16" fillId="2" borderId="5" xfId="0" applyFont="1" applyFill="1" applyBorder="1" applyAlignment="1">
      <alignment horizontal="right" vertical="center"/>
    </xf>
    <xf numFmtId="0" fontId="16" fillId="2" borderId="21" xfId="0" applyFont="1" applyFill="1" applyBorder="1" applyAlignment="1">
      <alignment horizontal="right" vertical="center"/>
    </xf>
    <xf numFmtId="0" fontId="16" fillId="2" borderId="10" xfId="0" applyFont="1" applyFill="1" applyBorder="1" applyAlignment="1">
      <alignment horizontal="right" vertical="center"/>
    </xf>
    <xf numFmtId="0" fontId="0" fillId="2" borderId="10" xfId="0" applyFill="1" applyBorder="1" applyAlignment="1">
      <alignment horizontal="right" vertical="center" wrapText="1"/>
    </xf>
    <xf numFmtId="0" fontId="0" fillId="2" borderId="10" xfId="0" applyFill="1" applyBorder="1" applyAlignment="1">
      <alignment horizontal="right" vertical="center"/>
    </xf>
    <xf numFmtId="0" fontId="0" fillId="5" borderId="10" xfId="0" applyFill="1" applyBorder="1" applyAlignment="1">
      <alignment horizontal="right" vertical="center"/>
    </xf>
    <xf numFmtId="0" fontId="0" fillId="5" borderId="10" xfId="0" applyFill="1" applyBorder="1" applyAlignment="1">
      <alignment horizontal="right" vertical="center" wrapText="1"/>
    </xf>
    <xf numFmtId="0" fontId="0" fillId="11" borderId="5" xfId="0" applyFill="1" applyBorder="1" applyAlignment="1">
      <alignment horizontal="center" vertical="center" textRotation="255"/>
    </xf>
    <xf numFmtId="0" fontId="0" fillId="11" borderId="10" xfId="0" applyFill="1" applyBorder="1" applyAlignment="1">
      <alignment horizontal="center" vertical="center" textRotation="255"/>
    </xf>
    <xf numFmtId="0" fontId="0" fillId="11" borderId="10" xfId="0" applyFill="1" applyBorder="1" applyAlignment="1">
      <alignment horizontal="right" vertical="center" wrapText="1"/>
    </xf>
    <xf numFmtId="0" fontId="72" fillId="0" borderId="22" xfId="0" applyFont="1" applyBorder="1" applyAlignment="1">
      <alignment horizontal="right" vertical="center" wrapText="1" readingOrder="2"/>
    </xf>
    <xf numFmtId="0" fontId="72" fillId="0" borderId="23" xfId="0" applyFont="1" applyBorder="1" applyAlignment="1">
      <alignment horizontal="right" vertical="center" wrapText="1" readingOrder="2"/>
    </xf>
    <xf numFmtId="0" fontId="59" fillId="0" borderId="2" xfId="0" applyFont="1" applyBorder="1" applyAlignment="1">
      <alignment horizontal="center"/>
    </xf>
    <xf numFmtId="0" fontId="59" fillId="0" borderId="48" xfId="0" applyFont="1" applyBorder="1" applyAlignment="1">
      <alignment horizontal="center"/>
    </xf>
    <xf numFmtId="14" fontId="59" fillId="0" borderId="5" xfId="0" applyNumberFormat="1" applyFont="1" applyBorder="1" applyAlignment="1">
      <alignment horizontal="center"/>
    </xf>
    <xf numFmtId="0" fontId="59" fillId="0" borderId="5" xfId="0" applyFont="1" applyBorder="1" applyAlignment="1">
      <alignment horizontal="center"/>
    </xf>
    <xf numFmtId="0" fontId="59" fillId="0" borderId="6" xfId="0" applyFont="1" applyBorder="1" applyAlignment="1">
      <alignment horizontal="center"/>
    </xf>
    <xf numFmtId="0" fontId="59" fillId="0" borderId="4" xfId="0" applyFont="1" applyBorder="1" applyAlignment="1">
      <alignment horizontal="center"/>
    </xf>
    <xf numFmtId="0" fontId="59" fillId="0" borderId="5" xfId="0" applyFont="1" applyBorder="1" applyAlignment="1">
      <alignment horizontal="center" wrapText="1"/>
    </xf>
    <xf numFmtId="0" fontId="59" fillId="0" borderId="6" xfId="0" applyFont="1" applyBorder="1" applyAlignment="1">
      <alignment horizontal="center" wrapText="1"/>
    </xf>
    <xf numFmtId="0" fontId="59" fillId="0" borderId="47" xfId="0" applyFont="1" applyBorder="1" applyAlignment="1">
      <alignment horizontal="center"/>
    </xf>
    <xf numFmtId="0" fontId="59" fillId="0" borderId="73" xfId="0" applyFont="1" applyBorder="1" applyAlignment="1">
      <alignment horizontal="center"/>
    </xf>
    <xf numFmtId="0" fontId="34" fillId="0" borderId="10" xfId="0" applyFont="1" applyBorder="1" applyAlignment="1">
      <alignment horizontal="right" wrapText="1"/>
    </xf>
    <xf numFmtId="0" fontId="34" fillId="0" borderId="11" xfId="0" applyFont="1" applyBorder="1" applyAlignment="1">
      <alignment horizontal="right" wrapText="1"/>
    </xf>
    <xf numFmtId="0" fontId="34" fillId="0" borderId="10" xfId="0" applyFont="1" applyBorder="1" applyAlignment="1">
      <alignment horizontal="right" vertical="center" wrapText="1"/>
    </xf>
    <xf numFmtId="0" fontId="34" fillId="0" borderId="11" xfId="0" applyFont="1" applyBorder="1" applyAlignment="1">
      <alignment horizontal="right" vertical="center" wrapText="1"/>
    </xf>
    <xf numFmtId="0" fontId="34" fillId="0" borderId="39" xfId="0" applyFont="1" applyBorder="1" applyAlignment="1">
      <alignment horizontal="right" vertical="center" wrapText="1"/>
    </xf>
    <xf numFmtId="0" fontId="34" fillId="0" borderId="9" xfId="0" applyFont="1" applyBorder="1" applyAlignment="1">
      <alignment horizontal="right" wrapText="1"/>
    </xf>
    <xf numFmtId="0" fontId="46" fillId="0" borderId="62" xfId="0" applyFont="1" applyFill="1" applyBorder="1" applyAlignment="1">
      <alignment horizontal="right" vertical="center" wrapText="1"/>
    </xf>
    <xf numFmtId="0" fontId="46" fillId="0" borderId="43" xfId="0" applyFont="1" applyFill="1" applyBorder="1" applyAlignment="1">
      <alignment horizontal="right" vertical="center" wrapText="1"/>
    </xf>
    <xf numFmtId="0" fontId="46" fillId="0" borderId="44" xfId="0" applyFont="1" applyFill="1" applyBorder="1" applyAlignment="1">
      <alignment horizontal="right" vertical="center" wrapText="1"/>
    </xf>
    <xf numFmtId="0" fontId="25" fillId="0" borderId="10" xfId="3" applyFont="1" applyBorder="1" applyAlignment="1">
      <alignment horizontal="center" vertical="center"/>
    </xf>
    <xf numFmtId="0" fontId="25" fillId="0" borderId="11" xfId="3" applyFont="1" applyBorder="1" applyAlignment="1">
      <alignment horizontal="center" vertical="center"/>
    </xf>
    <xf numFmtId="0" fontId="34" fillId="0" borderId="9" xfId="0" applyFont="1" applyBorder="1" applyAlignment="1">
      <alignment horizontal="right" vertical="center" wrapText="1"/>
    </xf>
    <xf numFmtId="0" fontId="34" fillId="0" borderId="7" xfId="0" applyFont="1" applyBorder="1" applyAlignment="1">
      <alignment horizontal="right" vertical="center" wrapText="1"/>
    </xf>
    <xf numFmtId="0" fontId="34" fillId="0" borderId="8" xfId="0" applyFont="1" applyBorder="1" applyAlignment="1">
      <alignment horizontal="right" vertical="center" wrapText="1"/>
    </xf>
    <xf numFmtId="14" fontId="59" fillId="0" borderId="63" xfId="0" applyNumberFormat="1" applyFont="1" applyBorder="1" applyAlignment="1">
      <alignment horizontal="center"/>
    </xf>
    <xf numFmtId="0" fontId="59" fillId="0" borderId="64" xfId="0" applyFont="1" applyBorder="1" applyAlignment="1">
      <alignment horizontal="center"/>
    </xf>
    <xf numFmtId="0" fontId="59" fillId="0" borderId="30" xfId="0" applyFont="1" applyBorder="1" applyAlignment="1">
      <alignment horizontal="center"/>
    </xf>
    <xf numFmtId="0" fontId="46" fillId="0" borderId="10" xfId="0" applyFont="1" applyFill="1" applyBorder="1" applyAlignment="1">
      <alignment horizontal="right" vertical="center" wrapText="1"/>
    </xf>
    <xf numFmtId="0" fontId="46" fillId="0" borderId="11" xfId="0" applyFont="1" applyFill="1" applyBorder="1" applyAlignment="1">
      <alignment horizontal="right" vertical="center" wrapText="1"/>
    </xf>
    <xf numFmtId="14" fontId="59" fillId="0" borderId="2" xfId="0" applyNumberFormat="1" applyFont="1" applyBorder="1" applyAlignment="1">
      <alignment horizontal="center"/>
    </xf>
    <xf numFmtId="0" fontId="39" fillId="0" borderId="29" xfId="0" applyFont="1" applyBorder="1" applyAlignment="1">
      <alignment horizontal="right"/>
    </xf>
    <xf numFmtId="0" fontId="39" fillId="0" borderId="34" xfId="0" applyFont="1" applyBorder="1" applyAlignment="1">
      <alignment horizontal="right"/>
    </xf>
    <xf numFmtId="0" fontId="39" fillId="0" borderId="31" xfId="0" applyFont="1" applyBorder="1" applyAlignment="1">
      <alignment horizontal="right"/>
    </xf>
    <xf numFmtId="0" fontId="23" fillId="0" borderId="5" xfId="0" applyFont="1" applyBorder="1" applyAlignment="1">
      <alignment horizontal="center"/>
    </xf>
    <xf numFmtId="0" fontId="23" fillId="0" borderId="5" xfId="0" applyFont="1" applyBorder="1" applyAlignment="1">
      <alignment horizontal="center" wrapText="1"/>
    </xf>
    <xf numFmtId="0" fontId="23" fillId="0" borderId="6" xfId="0" applyFont="1" applyBorder="1" applyAlignment="1">
      <alignment horizontal="center" wrapText="1"/>
    </xf>
    <xf numFmtId="166" fontId="39" fillId="0" borderId="12" xfId="0" applyNumberFormat="1" applyFont="1" applyBorder="1" applyAlignment="1">
      <alignment horizontal="center" vertical="center"/>
    </xf>
    <xf numFmtId="166" fontId="39" fillId="0" borderId="24" xfId="0" applyNumberFormat="1" applyFont="1" applyBorder="1" applyAlignment="1">
      <alignment horizontal="center" vertical="center"/>
    </xf>
    <xf numFmtId="0" fontId="23" fillId="0" borderId="21" xfId="0" applyFont="1" applyBorder="1" applyAlignment="1">
      <alignment horizontal="center"/>
    </xf>
    <xf numFmtId="0" fontId="23" fillId="0" borderId="21" xfId="0" applyFont="1" applyBorder="1" applyAlignment="1">
      <alignment horizontal="center" wrapText="1"/>
    </xf>
    <xf numFmtId="0" fontId="23" fillId="0" borderId="14" xfId="0" applyFont="1" applyBorder="1" applyAlignment="1">
      <alignment horizontal="center" wrapText="1"/>
    </xf>
    <xf numFmtId="170" fontId="19" fillId="0" borderId="22" xfId="1" applyNumberFormat="1" applyFont="1" applyFill="1" applyBorder="1" applyAlignment="1">
      <alignment horizontal="right" vertical="center" wrapText="1"/>
    </xf>
    <xf numFmtId="170" fontId="19" fillId="0" borderId="23" xfId="1" applyNumberFormat="1" applyFont="1" applyFill="1" applyBorder="1" applyAlignment="1">
      <alignment horizontal="right" vertical="center" wrapText="1"/>
    </xf>
    <xf numFmtId="0" fontId="23" fillId="0" borderId="63" xfId="0" applyFont="1" applyBorder="1" applyAlignment="1">
      <alignment horizontal="center"/>
    </xf>
    <xf numFmtId="0" fontId="23" fillId="0" borderId="64" xfId="0" applyFont="1" applyBorder="1" applyAlignment="1">
      <alignment horizontal="center"/>
    </xf>
    <xf numFmtId="0" fontId="23" fillId="0" borderId="30" xfId="0" applyFont="1" applyBorder="1" applyAlignment="1">
      <alignment horizontal="center"/>
    </xf>
    <xf numFmtId="0" fontId="29" fillId="0" borderId="10" xfId="0" applyFont="1" applyFill="1" applyBorder="1" applyAlignment="1">
      <alignment horizontal="center" vertical="center" readingOrder="1"/>
    </xf>
    <xf numFmtId="0" fontId="23" fillId="0" borderId="22" xfId="0" applyFont="1" applyFill="1" applyBorder="1" applyAlignment="1">
      <alignment horizontal="center" vertical="center" readingOrder="1"/>
    </xf>
    <xf numFmtId="0" fontId="23" fillId="0" borderId="63" xfId="0" applyFont="1" applyBorder="1" applyAlignment="1">
      <alignment horizontal="center" wrapText="1"/>
    </xf>
    <xf numFmtId="0" fontId="23" fillId="0" borderId="41" xfId="0" applyFont="1" applyBorder="1" applyAlignment="1">
      <alignment horizontal="center" wrapText="1"/>
    </xf>
    <xf numFmtId="170" fontId="23" fillId="14" borderId="29" xfId="3" applyNumberFormat="1" applyFont="1" applyFill="1" applyBorder="1" applyAlignment="1">
      <alignment horizontal="center" wrapText="1"/>
    </xf>
    <xf numFmtId="170" fontId="23" fillId="14" borderId="34" xfId="3" applyNumberFormat="1" applyFont="1" applyFill="1" applyBorder="1" applyAlignment="1">
      <alignment horizontal="center" wrapText="1"/>
    </xf>
    <xf numFmtId="170" fontId="23" fillId="14" borderId="31" xfId="3" applyNumberFormat="1" applyFont="1" applyFill="1" applyBorder="1" applyAlignment="1">
      <alignment horizontal="center" wrapText="1"/>
    </xf>
    <xf numFmtId="170" fontId="23" fillId="0" borderId="29" xfId="3" applyNumberFormat="1" applyFont="1" applyFill="1" applyBorder="1" applyAlignment="1">
      <alignment horizontal="center" wrapText="1"/>
    </xf>
    <xf numFmtId="170" fontId="23" fillId="0" borderId="34" xfId="3" applyNumberFormat="1" applyFont="1" applyFill="1" applyBorder="1" applyAlignment="1">
      <alignment horizontal="center" wrapText="1"/>
    </xf>
    <xf numFmtId="170" fontId="23" fillId="0" borderId="31" xfId="3" applyNumberFormat="1" applyFont="1" applyFill="1" applyBorder="1" applyAlignment="1">
      <alignment horizontal="center" wrapText="1"/>
    </xf>
    <xf numFmtId="170" fontId="23" fillId="0" borderId="10" xfId="3" applyNumberFormat="1" applyFont="1" applyFill="1" applyBorder="1" applyAlignment="1">
      <alignment horizontal="center" wrapText="1"/>
    </xf>
    <xf numFmtId="170" fontId="23" fillId="0" borderId="68" xfId="3" applyNumberFormat="1" applyFont="1" applyFill="1" applyBorder="1" applyAlignment="1">
      <alignment horizontal="center" vertical="center" wrapText="1"/>
    </xf>
    <xf numFmtId="170" fontId="23" fillId="0" borderId="39" xfId="3" applyNumberFormat="1" applyFont="1" applyFill="1" applyBorder="1" applyAlignment="1">
      <alignment horizontal="center" vertical="center" wrapText="1"/>
    </xf>
    <xf numFmtId="170" fontId="23" fillId="0" borderId="40" xfId="3" applyNumberFormat="1" applyFont="1" applyFill="1" applyBorder="1" applyAlignment="1">
      <alignment horizontal="center" vertical="center" wrapText="1"/>
    </xf>
    <xf numFmtId="0" fontId="69" fillId="0" borderId="22" xfId="0" applyFont="1" applyFill="1" applyBorder="1" applyAlignment="1">
      <alignment horizontal="center"/>
    </xf>
    <xf numFmtId="170" fontId="23" fillId="14" borderId="10" xfId="3" applyNumberFormat="1" applyFont="1" applyFill="1" applyBorder="1" applyAlignment="1">
      <alignment horizontal="center" wrapText="1"/>
    </xf>
    <xf numFmtId="170" fontId="23" fillId="0" borderId="29" xfId="3" applyNumberFormat="1" applyFont="1" applyFill="1" applyBorder="1" applyAlignment="1">
      <alignment horizontal="center" vertical="center" wrapText="1"/>
    </xf>
    <xf numFmtId="170" fontId="23" fillId="0" borderId="34" xfId="3" applyNumberFormat="1" applyFont="1" applyFill="1" applyBorder="1" applyAlignment="1">
      <alignment horizontal="center" vertical="center" wrapText="1"/>
    </xf>
    <xf numFmtId="170" fontId="23" fillId="0" borderId="31" xfId="3" applyNumberFormat="1" applyFont="1" applyFill="1" applyBorder="1" applyAlignment="1">
      <alignment horizontal="center" vertical="center" wrapText="1"/>
    </xf>
    <xf numFmtId="0" fontId="23" fillId="0" borderId="29" xfId="3" applyFont="1" applyFill="1" applyBorder="1" applyAlignment="1">
      <alignment horizontal="center" vertical="center" readingOrder="2"/>
    </xf>
    <xf numFmtId="0" fontId="23" fillId="0" borderId="34" xfId="3" applyFont="1" applyFill="1" applyBorder="1" applyAlignment="1">
      <alignment horizontal="center" vertical="center" readingOrder="2"/>
    </xf>
    <xf numFmtId="0" fontId="23" fillId="0" borderId="31" xfId="3" applyFont="1" applyFill="1" applyBorder="1" applyAlignment="1">
      <alignment horizontal="center" vertical="center" readingOrder="2"/>
    </xf>
    <xf numFmtId="170" fontId="23" fillId="0" borderId="61" xfId="3" applyNumberFormat="1" applyFont="1" applyFill="1" applyBorder="1" applyAlignment="1">
      <alignment horizontal="center" wrapText="1"/>
    </xf>
    <xf numFmtId="0" fontId="23" fillId="0" borderId="10" xfId="0" applyFont="1" applyBorder="1" applyAlignment="1">
      <alignment horizontal="center"/>
    </xf>
    <xf numFmtId="0" fontId="29" fillId="0" borderId="9" xfId="0" applyFont="1" applyFill="1" applyBorder="1" applyAlignment="1">
      <alignment horizontal="center" vertical="center"/>
    </xf>
    <xf numFmtId="0" fontId="29" fillId="0" borderId="7" xfId="0" applyFont="1" applyFill="1" applyBorder="1" applyAlignment="1">
      <alignment horizontal="center" vertical="center"/>
    </xf>
    <xf numFmtId="0" fontId="29" fillId="0" borderId="66"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3" fillId="0" borderId="70" xfId="0" applyFont="1" applyBorder="1" applyAlignment="1">
      <alignment horizontal="center" wrapText="1"/>
    </xf>
    <xf numFmtId="0" fontId="23" fillId="0" borderId="49" xfId="0" applyFont="1" applyBorder="1" applyAlignment="1">
      <alignment horizontal="center" wrapText="1"/>
    </xf>
    <xf numFmtId="170" fontId="29" fillId="0" borderId="0" xfId="3" applyNumberFormat="1" applyFont="1" applyFill="1" applyBorder="1" applyAlignment="1">
      <alignment horizontal="center" wrapText="1"/>
    </xf>
    <xf numFmtId="0" fontId="23" fillId="0" borderId="63" xfId="0" applyFont="1" applyBorder="1" applyAlignment="1">
      <alignment horizontal="center" readingOrder="2"/>
    </xf>
    <xf numFmtId="0" fontId="23" fillId="0" borderId="64" xfId="0" applyFont="1" applyBorder="1" applyAlignment="1">
      <alignment horizontal="center" readingOrder="2"/>
    </xf>
    <xf numFmtId="0" fontId="23" fillId="0" borderId="30" xfId="0" applyFont="1" applyBorder="1" applyAlignment="1">
      <alignment horizontal="center" readingOrder="2"/>
    </xf>
    <xf numFmtId="0" fontId="76" fillId="21" borderId="0" xfId="0" applyFont="1" applyFill="1" applyAlignment="1">
      <alignment horizontal="center" wrapText="1"/>
    </xf>
    <xf numFmtId="0" fontId="19" fillId="0" borderId="29" xfId="0" applyFont="1" applyFill="1" applyBorder="1" applyAlignment="1">
      <alignment horizontal="right" vertical="center" wrapText="1" readingOrder="2"/>
    </xf>
    <xf numFmtId="0" fontId="19" fillId="0" borderId="34" xfId="0" applyFont="1" applyFill="1" applyBorder="1" applyAlignment="1">
      <alignment horizontal="right" vertical="center" wrapText="1" readingOrder="2"/>
    </xf>
    <xf numFmtId="0" fontId="19" fillId="0" borderId="38" xfId="0" applyFont="1" applyFill="1" applyBorder="1" applyAlignment="1">
      <alignment horizontal="right" vertical="center" wrapText="1" readingOrder="2"/>
    </xf>
    <xf numFmtId="170" fontId="29" fillId="0" borderId="22" xfId="3" applyNumberFormat="1" applyFont="1" applyFill="1" applyBorder="1" applyAlignment="1">
      <alignment horizontal="center" wrapText="1"/>
    </xf>
    <xf numFmtId="170" fontId="29" fillId="0" borderId="23" xfId="3" applyNumberFormat="1" applyFont="1" applyFill="1" applyBorder="1" applyAlignment="1">
      <alignment horizontal="center" wrapText="1"/>
    </xf>
    <xf numFmtId="0" fontId="20" fillId="0" borderId="5" xfId="0" applyFont="1" applyBorder="1" applyAlignment="1">
      <alignment horizontal="center"/>
    </xf>
    <xf numFmtId="0" fontId="20" fillId="0" borderId="5" xfId="0" applyFont="1" applyBorder="1" applyAlignment="1">
      <alignment horizontal="center" wrapText="1"/>
    </xf>
    <xf numFmtId="0" fontId="20" fillId="0" borderId="6" xfId="0" applyFont="1" applyBorder="1" applyAlignment="1">
      <alignment horizontal="center" wrapText="1"/>
    </xf>
    <xf numFmtId="0" fontId="20" fillId="0" borderId="63" xfId="0" applyFont="1" applyBorder="1" applyAlignment="1">
      <alignment horizontal="center"/>
    </xf>
    <xf numFmtId="0" fontId="20" fillId="0" borderId="64" xfId="0" applyFont="1" applyBorder="1" applyAlignment="1">
      <alignment horizontal="center"/>
    </xf>
    <xf numFmtId="0" fontId="20" fillId="0" borderId="30" xfId="0" applyFont="1" applyBorder="1" applyAlignment="1">
      <alignment horizontal="center"/>
    </xf>
    <xf numFmtId="170" fontId="59" fillId="0" borderId="68" xfId="3" applyNumberFormat="1" applyFont="1" applyFill="1" applyBorder="1" applyAlignment="1">
      <alignment horizontal="center" wrapText="1"/>
    </xf>
    <xf numFmtId="170" fontId="59" fillId="0" borderId="39" xfId="3" applyNumberFormat="1" applyFont="1" applyFill="1" applyBorder="1" applyAlignment="1">
      <alignment horizontal="center" wrapText="1"/>
    </xf>
    <xf numFmtId="170" fontId="59" fillId="0" borderId="40" xfId="3" applyNumberFormat="1" applyFont="1" applyFill="1" applyBorder="1" applyAlignment="1">
      <alignment horizontal="center" wrapText="1"/>
    </xf>
    <xf numFmtId="170" fontId="59" fillId="0" borderId="10" xfId="3" applyNumberFormat="1" applyFont="1" applyFill="1" applyBorder="1" applyAlignment="1">
      <alignment horizontal="center" wrapText="1"/>
    </xf>
    <xf numFmtId="0" fontId="59" fillId="0" borderId="63" xfId="0" applyFont="1" applyBorder="1" applyAlignment="1">
      <alignment horizontal="center"/>
    </xf>
    <xf numFmtId="0" fontId="20" fillId="0" borderId="63" xfId="0" applyFont="1" applyBorder="1" applyAlignment="1">
      <alignment horizontal="center" wrapText="1"/>
    </xf>
    <xf numFmtId="0" fontId="20" fillId="0" borderId="41" xfId="0" applyFont="1" applyBorder="1" applyAlignment="1">
      <alignment horizontal="center" wrapText="1"/>
    </xf>
    <xf numFmtId="0" fontId="20" fillId="0" borderId="64" xfId="0" applyFont="1" applyBorder="1" applyAlignment="1">
      <alignment horizontal="center" wrapText="1"/>
    </xf>
    <xf numFmtId="0" fontId="20" fillId="0" borderId="30" xfId="0" applyFont="1" applyBorder="1" applyAlignment="1">
      <alignment horizontal="center" wrapText="1"/>
    </xf>
    <xf numFmtId="0" fontId="27" fillId="0" borderId="2" xfId="0" applyFont="1" applyFill="1" applyBorder="1" applyAlignment="1">
      <alignment horizontal="right" vertical="center" wrapText="1" readingOrder="2"/>
    </xf>
    <xf numFmtId="0" fontId="27" fillId="0" borderId="47" xfId="0" applyFont="1" applyFill="1" applyBorder="1" applyAlignment="1">
      <alignment horizontal="right" vertical="center" wrapText="1" readingOrder="2"/>
    </xf>
    <xf numFmtId="0" fontId="27" fillId="0" borderId="48" xfId="0" applyFont="1" applyFill="1" applyBorder="1" applyAlignment="1">
      <alignment horizontal="right" vertical="center" wrapText="1" readingOrder="2"/>
    </xf>
    <xf numFmtId="0" fontId="20" fillId="3" borderId="1" xfId="0" applyFont="1" applyFill="1" applyBorder="1" applyAlignment="1">
      <alignment horizontal="center"/>
    </xf>
    <xf numFmtId="0" fontId="20" fillId="3" borderId="20" xfId="0" applyFont="1" applyFill="1" applyBorder="1" applyAlignment="1">
      <alignment horizontal="center"/>
    </xf>
    <xf numFmtId="0" fontId="20" fillId="3" borderId="36" xfId="0" applyFont="1" applyFill="1" applyBorder="1" applyAlignment="1">
      <alignment horizontal="center"/>
    </xf>
    <xf numFmtId="0" fontId="20" fillId="19" borderId="29" xfId="3" applyFont="1" applyFill="1" applyBorder="1" applyAlignment="1">
      <alignment horizontal="center" vertical="center" readingOrder="2"/>
    </xf>
    <xf numFmtId="0" fontId="20" fillId="19" borderId="34" xfId="3" applyFont="1" applyFill="1" applyBorder="1" applyAlignment="1">
      <alignment horizontal="center" vertical="center" readingOrder="2"/>
    </xf>
    <xf numFmtId="0" fontId="20" fillId="19" borderId="31" xfId="3" applyFont="1" applyFill="1" applyBorder="1" applyAlignment="1">
      <alignment horizontal="center" vertical="center" readingOrder="2"/>
    </xf>
    <xf numFmtId="43" fontId="20" fillId="0" borderId="5" xfId="1" applyFont="1" applyBorder="1" applyAlignment="1">
      <alignment horizontal="center" wrapText="1"/>
    </xf>
    <xf numFmtId="43" fontId="20" fillId="0" borderId="6" xfId="1" applyFont="1" applyBorder="1" applyAlignment="1">
      <alignment horizontal="center" wrapText="1"/>
    </xf>
    <xf numFmtId="0" fontId="20" fillId="0" borderId="29" xfId="3" applyFont="1" applyFill="1" applyBorder="1" applyAlignment="1">
      <alignment horizontal="center" vertical="center" wrapText="1" readingOrder="2"/>
    </xf>
    <xf numFmtId="0" fontId="20" fillId="0" borderId="34" xfId="3" applyFont="1" applyFill="1" applyBorder="1" applyAlignment="1">
      <alignment horizontal="center" vertical="center" wrapText="1" readingOrder="2"/>
    </xf>
    <xf numFmtId="0" fontId="20" fillId="0" borderId="31" xfId="3" applyFont="1" applyFill="1" applyBorder="1" applyAlignment="1">
      <alignment horizontal="center" vertical="center" wrapText="1" readingOrder="2"/>
    </xf>
    <xf numFmtId="43" fontId="20" fillId="0" borderId="5" xfId="1" applyFont="1" applyBorder="1" applyAlignment="1">
      <alignment horizontal="center"/>
    </xf>
    <xf numFmtId="0" fontId="20" fillId="0" borderId="68" xfId="3" applyFont="1" applyFill="1" applyBorder="1" applyAlignment="1">
      <alignment horizontal="center" vertical="center" readingOrder="2"/>
    </xf>
    <xf numFmtId="0" fontId="20" fillId="0" borderId="39" xfId="3" applyFont="1" applyFill="1" applyBorder="1" applyAlignment="1">
      <alignment horizontal="center" vertical="center" readingOrder="2"/>
    </xf>
    <xf numFmtId="0" fontId="20" fillId="0" borderId="40" xfId="3" applyFont="1" applyFill="1" applyBorder="1" applyAlignment="1">
      <alignment horizontal="center" vertical="center" readingOrder="2"/>
    </xf>
    <xf numFmtId="0" fontId="20" fillId="0" borderId="29" xfId="3" applyFont="1" applyFill="1" applyBorder="1" applyAlignment="1">
      <alignment horizontal="center" vertical="center" readingOrder="2"/>
    </xf>
    <xf numFmtId="0" fontId="20" fillId="0" borderId="34" xfId="3" applyFont="1" applyFill="1" applyBorder="1" applyAlignment="1">
      <alignment horizontal="center" vertical="center" readingOrder="2"/>
    </xf>
    <xf numFmtId="0" fontId="20" fillId="0" borderId="31" xfId="3" applyFont="1" applyFill="1" applyBorder="1" applyAlignment="1">
      <alignment horizontal="center" vertical="center" readingOrder="2"/>
    </xf>
    <xf numFmtId="170" fontId="28" fillId="0" borderId="62" xfId="5" applyNumberFormat="1" applyFont="1" applyFill="1" applyBorder="1" applyAlignment="1">
      <alignment horizontal="right" vertical="center" readingOrder="2"/>
    </xf>
    <xf numFmtId="170" fontId="28" fillId="0" borderId="43" xfId="5" applyNumberFormat="1" applyFont="1" applyFill="1" applyBorder="1" applyAlignment="1">
      <alignment horizontal="right" vertical="center" readingOrder="2"/>
    </xf>
    <xf numFmtId="170" fontId="28" fillId="0" borderId="26" xfId="5" applyNumberFormat="1" applyFont="1" applyFill="1" applyBorder="1" applyAlignment="1">
      <alignment horizontal="right" vertical="center" readingOrder="2"/>
    </xf>
    <xf numFmtId="0" fontId="28" fillId="0" borderId="10" xfId="3" applyFont="1" applyFill="1" applyBorder="1" applyAlignment="1">
      <alignment horizontal="right" vertical="center" readingOrder="2"/>
    </xf>
    <xf numFmtId="0" fontId="20" fillId="0" borderId="10" xfId="3" applyFont="1" applyFill="1" applyBorder="1" applyAlignment="1">
      <alignment horizontal="center" vertical="center" readingOrder="2"/>
    </xf>
    <xf numFmtId="170" fontId="9" fillId="0" borderId="8" xfId="5" applyNumberFormat="1" applyFont="1" applyBorder="1" applyAlignment="1">
      <alignment horizontal="center" vertical="center" wrapText="1"/>
    </xf>
    <xf numFmtId="170" fontId="9" fillId="0" borderId="21" xfId="5" applyNumberFormat="1" applyFont="1" applyBorder="1" applyAlignment="1">
      <alignment horizontal="center" vertical="center" wrapText="1"/>
    </xf>
    <xf numFmtId="170" fontId="28" fillId="0" borderId="62" xfId="5" applyNumberFormat="1" applyFont="1" applyFill="1" applyBorder="1" applyAlignment="1">
      <alignment horizontal="right"/>
    </xf>
    <xf numFmtId="170" fontId="28" fillId="0" borderId="43" xfId="5" applyNumberFormat="1" applyFont="1" applyFill="1" applyBorder="1" applyAlignment="1">
      <alignment horizontal="right"/>
    </xf>
    <xf numFmtId="170" fontId="28" fillId="0" borderId="26" xfId="5" applyNumberFormat="1" applyFont="1" applyFill="1" applyBorder="1" applyAlignment="1">
      <alignment horizontal="right"/>
    </xf>
    <xf numFmtId="170" fontId="20" fillId="0" borderId="10" xfId="5" applyNumberFormat="1" applyFont="1" applyFill="1" applyBorder="1" applyAlignment="1">
      <alignment horizontal="center"/>
    </xf>
    <xf numFmtId="0" fontId="28" fillId="0" borderId="62" xfId="3" applyFont="1" applyFill="1" applyBorder="1" applyAlignment="1">
      <alignment horizontal="right" vertical="center" wrapText="1" readingOrder="1"/>
    </xf>
    <xf numFmtId="0" fontId="28" fillId="0" borderId="43" xfId="3" applyFont="1" applyFill="1" applyBorder="1" applyAlignment="1">
      <alignment horizontal="right" vertical="center" wrapText="1" readingOrder="1"/>
    </xf>
    <xf numFmtId="0" fontId="28" fillId="0" borderId="26" xfId="3" applyFont="1" applyFill="1" applyBorder="1" applyAlignment="1">
      <alignment horizontal="right" vertical="center" wrapText="1" readingOrder="1"/>
    </xf>
    <xf numFmtId="0" fontId="20" fillId="3" borderId="5" xfId="0" applyFont="1" applyFill="1" applyBorder="1" applyAlignment="1">
      <alignment horizontal="center"/>
    </xf>
    <xf numFmtId="0" fontId="20" fillId="3" borderId="10" xfId="0" applyFont="1" applyFill="1" applyBorder="1" applyAlignment="1">
      <alignment horizontal="center"/>
    </xf>
    <xf numFmtId="0" fontId="20" fillId="3" borderId="22" xfId="0" applyFont="1" applyFill="1" applyBorder="1" applyAlignment="1">
      <alignment horizontal="center"/>
    </xf>
    <xf numFmtId="0" fontId="20" fillId="0" borderId="36" xfId="3" applyFont="1" applyFill="1" applyBorder="1" applyAlignment="1">
      <alignment horizontal="center" vertical="center" readingOrder="2"/>
    </xf>
    <xf numFmtId="43" fontId="20" fillId="0" borderId="4" xfId="1" applyFont="1" applyBorder="1" applyAlignment="1">
      <alignment horizontal="center"/>
    </xf>
    <xf numFmtId="0" fontId="27" fillId="0" borderId="29" xfId="0" applyFont="1" applyFill="1" applyBorder="1" applyAlignment="1">
      <alignment horizontal="right" vertical="center" readingOrder="2"/>
    </xf>
    <xf numFmtId="0" fontId="27" fillId="0" borderId="34" xfId="0" applyFont="1" applyFill="1" applyBorder="1" applyAlignment="1">
      <alignment horizontal="right" vertical="center" readingOrder="2"/>
    </xf>
    <xf numFmtId="0" fontId="27" fillId="0" borderId="38" xfId="0" applyFont="1" applyFill="1" applyBorder="1" applyAlignment="1">
      <alignment horizontal="right" vertical="center" readingOrder="2"/>
    </xf>
    <xf numFmtId="0" fontId="0" fillId="0" borderId="29" xfId="0" applyFill="1" applyBorder="1" applyAlignment="1">
      <alignment horizontal="right" wrapText="1" readingOrder="2"/>
    </xf>
    <xf numFmtId="0" fontId="0" fillId="0" borderId="34" xfId="0" applyFill="1" applyBorder="1" applyAlignment="1">
      <alignment horizontal="right" wrapText="1" readingOrder="2"/>
    </xf>
    <xf numFmtId="0" fontId="0" fillId="0" borderId="31" xfId="0" applyFill="1" applyBorder="1" applyAlignment="1">
      <alignment horizontal="right" wrapText="1" readingOrder="2"/>
    </xf>
    <xf numFmtId="0" fontId="28" fillId="0" borderId="62" xfId="3" applyFont="1" applyFill="1" applyBorder="1" applyAlignment="1">
      <alignment horizontal="right" vertical="center" readingOrder="2"/>
    </xf>
    <xf numFmtId="0" fontId="28" fillId="0" borderId="43" xfId="3" applyFont="1" applyFill="1" applyBorder="1" applyAlignment="1">
      <alignment horizontal="right" vertical="center" readingOrder="2"/>
    </xf>
    <xf numFmtId="0" fontId="28" fillId="0" borderId="26" xfId="3" applyFont="1" applyFill="1" applyBorder="1" applyAlignment="1">
      <alignment horizontal="right" vertical="center" readingOrder="2"/>
    </xf>
    <xf numFmtId="0" fontId="45" fillId="0" borderId="10" xfId="0" applyFont="1" applyBorder="1" applyAlignment="1">
      <alignment horizontal="center"/>
    </xf>
    <xf numFmtId="0" fontId="28" fillId="0" borderId="36" xfId="3" applyFont="1" applyFill="1" applyBorder="1" applyAlignment="1">
      <alignment horizontal="center" vertical="center" readingOrder="2"/>
    </xf>
    <xf numFmtId="0" fontId="28" fillId="0" borderId="10" xfId="3" applyFont="1" applyFill="1" applyBorder="1" applyAlignment="1">
      <alignment horizontal="center" vertical="center" readingOrder="2"/>
    </xf>
    <xf numFmtId="0" fontId="28" fillId="0" borderId="22" xfId="3" applyFont="1" applyFill="1" applyBorder="1" applyAlignment="1">
      <alignment horizontal="center" vertical="center" wrapText="1" readingOrder="1"/>
    </xf>
    <xf numFmtId="170" fontId="27" fillId="0" borderId="61" xfId="1" applyNumberFormat="1" applyFont="1" applyFill="1" applyBorder="1" applyAlignment="1">
      <alignment horizontal="right" vertical="center" wrapText="1"/>
    </xf>
    <xf numFmtId="170" fontId="27" fillId="0" borderId="34" xfId="1" applyNumberFormat="1" applyFont="1" applyFill="1" applyBorder="1" applyAlignment="1">
      <alignment horizontal="right" vertical="center" wrapText="1"/>
    </xf>
    <xf numFmtId="170" fontId="27" fillId="0" borderId="38" xfId="1" applyNumberFormat="1" applyFont="1" applyFill="1" applyBorder="1" applyAlignment="1">
      <alignment horizontal="right" vertical="center" wrapText="1"/>
    </xf>
    <xf numFmtId="0" fontId="27" fillId="0" borderId="36" xfId="0" applyFont="1" applyFill="1" applyBorder="1" applyAlignment="1">
      <alignment horizontal="right" vertical="center" wrapText="1" readingOrder="2"/>
    </xf>
    <xf numFmtId="0" fontId="27" fillId="0" borderId="56" xfId="0" applyFont="1" applyFill="1" applyBorder="1" applyAlignment="1">
      <alignment horizontal="right" vertical="center" wrapText="1" readingOrder="2"/>
    </xf>
    <xf numFmtId="0" fontId="45" fillId="0" borderId="10" xfId="0" applyFont="1" applyFill="1" applyBorder="1" applyAlignment="1">
      <alignment horizontal="right" wrapText="1" readingOrder="2"/>
    </xf>
    <xf numFmtId="0" fontId="0" fillId="0" borderId="22" xfId="0" applyFill="1" applyBorder="1" applyAlignment="1">
      <alignment horizontal="right" wrapText="1" readingOrder="2"/>
    </xf>
    <xf numFmtId="0" fontId="27" fillId="0" borderId="22" xfId="0" applyFont="1" applyFill="1" applyBorder="1" applyAlignment="1">
      <alignment horizontal="right" vertical="center" readingOrder="2"/>
    </xf>
    <xf numFmtId="0" fontId="27" fillId="0" borderId="23" xfId="0" applyFont="1" applyFill="1" applyBorder="1" applyAlignment="1">
      <alignment horizontal="right" vertical="center" readingOrder="2"/>
    </xf>
    <xf numFmtId="0" fontId="27" fillId="0" borderId="10" xfId="0" applyFont="1" applyFill="1" applyBorder="1" applyAlignment="1">
      <alignment horizontal="center" vertical="center" wrapText="1" readingOrder="2"/>
    </xf>
    <xf numFmtId="170" fontId="20" fillId="0" borderId="21" xfId="5" applyNumberFormat="1" applyFont="1" applyFill="1" applyBorder="1" applyAlignment="1">
      <alignment horizontal="center"/>
    </xf>
    <xf numFmtId="0" fontId="20" fillId="0" borderId="29" xfId="3" applyFont="1" applyFill="1" applyBorder="1" applyAlignment="1">
      <alignment horizontal="center" vertical="center"/>
    </xf>
    <xf numFmtId="0" fontId="20" fillId="0" borderId="34" xfId="3" applyFont="1" applyFill="1" applyBorder="1" applyAlignment="1">
      <alignment horizontal="center" vertical="center"/>
    </xf>
    <xf numFmtId="0" fontId="20" fillId="0" borderId="31" xfId="3" applyFont="1" applyFill="1" applyBorder="1" applyAlignment="1">
      <alignment horizontal="center" vertical="center"/>
    </xf>
    <xf numFmtId="0" fontId="20" fillId="0" borderId="63" xfId="0" applyFont="1" applyBorder="1" applyAlignment="1">
      <alignment horizontal="center" readingOrder="2"/>
    </xf>
    <xf numFmtId="0" fontId="20" fillId="0" borderId="64" xfId="0" applyFont="1" applyBorder="1" applyAlignment="1">
      <alignment horizontal="center" readingOrder="2"/>
    </xf>
    <xf numFmtId="0" fontId="20" fillId="0" borderId="30" xfId="0" applyFont="1" applyBorder="1" applyAlignment="1">
      <alignment horizontal="center" readingOrder="2"/>
    </xf>
    <xf numFmtId="170" fontId="20" fillId="0" borderId="29" xfId="3" applyNumberFormat="1" applyFont="1" applyFill="1" applyBorder="1" applyAlignment="1">
      <alignment horizontal="center" wrapText="1"/>
    </xf>
    <xf numFmtId="170" fontId="20" fillId="0" borderId="34" xfId="3" applyNumberFormat="1" applyFont="1" applyFill="1" applyBorder="1" applyAlignment="1">
      <alignment horizontal="center" wrapText="1"/>
    </xf>
    <xf numFmtId="170" fontId="20" fillId="0" borderId="31" xfId="3" applyNumberFormat="1" applyFont="1" applyFill="1" applyBorder="1" applyAlignment="1">
      <alignment horizontal="center" wrapText="1"/>
    </xf>
    <xf numFmtId="0" fontId="20" fillId="13" borderId="4" xfId="3" applyFont="1" applyFill="1" applyBorder="1" applyAlignment="1">
      <alignment horizontal="center" vertical="center" wrapText="1" readingOrder="2"/>
    </xf>
    <xf numFmtId="0" fontId="20" fillId="13" borderId="5" xfId="3" applyFont="1" applyFill="1" applyBorder="1" applyAlignment="1">
      <alignment horizontal="center" vertical="center" wrapText="1" readingOrder="2"/>
    </xf>
    <xf numFmtId="0" fontId="20" fillId="0" borderId="5" xfId="0" applyFont="1" applyBorder="1" applyAlignment="1">
      <alignment horizontal="right" readingOrder="2"/>
    </xf>
    <xf numFmtId="0" fontId="20" fillId="0" borderId="6" xfId="0" applyFont="1" applyBorder="1" applyAlignment="1">
      <alignment horizontal="right" readingOrder="2"/>
    </xf>
    <xf numFmtId="0" fontId="63" fillId="21" borderId="5" xfId="0" applyFont="1" applyFill="1" applyBorder="1" applyAlignment="1">
      <alignment horizontal="center"/>
    </xf>
    <xf numFmtId="0" fontId="63" fillId="21" borderId="63" xfId="0" applyFont="1" applyFill="1" applyBorder="1" applyAlignment="1">
      <alignment horizontal="center"/>
    </xf>
    <xf numFmtId="0" fontId="20" fillId="0" borderId="4" xfId="0" applyFont="1" applyBorder="1" applyAlignment="1">
      <alignment horizontal="center"/>
    </xf>
  </cellXfs>
  <cellStyles count="11">
    <cellStyle name="Comma" xfId="1" builtinId="3"/>
    <cellStyle name="Comma 2" xfId="5"/>
    <cellStyle name="Comma 3" xfId="7"/>
    <cellStyle name="Comma 4 4" xfId="10"/>
    <cellStyle name="Currency" xfId="4" builtinId="4"/>
    <cellStyle name="Normal" xfId="0" builtinId="0"/>
    <cellStyle name="Normal 2" xfId="3"/>
    <cellStyle name="Normal 2 3" xfId="6"/>
    <cellStyle name="Normal 3" xfId="8"/>
    <cellStyle name="Normal 3 9" xfId="9"/>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פילוח תוכניות בחמ"ע</a:t>
            </a:r>
          </a:p>
        </c:rich>
      </c:tx>
      <c:overlay val="0"/>
    </c:title>
    <c:autoTitleDeleted val="0"/>
    <c:plotArea>
      <c:layout/>
      <c:pieChart>
        <c:varyColors val="1"/>
        <c:ser>
          <c:idx val="0"/>
          <c:order val="0"/>
          <c:explosion val="25"/>
          <c:dLbls>
            <c:dLbl>
              <c:idx val="2"/>
              <c:layout>
                <c:manualLayout>
                  <c:x val="2.4967598653146024E-2"/>
                  <c:y val="-0.11940319540594338"/>
                </c:manualLayout>
              </c:layout>
              <c:showLegendKey val="0"/>
              <c:showVal val="0"/>
              <c:showCatName val="1"/>
              <c:showSerName val="0"/>
              <c:showPercent val="1"/>
              <c:showBubbleSize val="0"/>
            </c:dLbl>
            <c:dLbl>
              <c:idx val="3"/>
              <c:layout>
                <c:manualLayout>
                  <c:x val="8.5902060009248229E-2"/>
                  <c:y val="-8.5902047478964461E-2"/>
                </c:manualLayout>
              </c:layout>
              <c:showLegendKey val="0"/>
              <c:showVal val="0"/>
              <c:showCatName val="1"/>
              <c:showSerName val="0"/>
              <c:showPercent val="1"/>
              <c:showBubbleSize val="0"/>
            </c:dLbl>
            <c:txPr>
              <a:bodyPr/>
              <a:lstStyle/>
              <a:p>
                <a:pPr>
                  <a:defRPr b="0"/>
                </a:pPr>
                <a:endParaRPr lang="he-IL"/>
              </a:p>
            </c:txPr>
            <c:showLegendKey val="0"/>
            <c:showVal val="0"/>
            <c:showCatName val="1"/>
            <c:showSerName val="0"/>
            <c:showPercent val="1"/>
            <c:showBubbleSize val="0"/>
            <c:showLeaderLines val="1"/>
          </c:dLbls>
          <c:cat>
            <c:strRef>
              <c:f>'סיכום 7.16 '!$F$2:$F$19</c:f>
              <c:strCache>
                <c:ptCount val="18"/>
                <c:pt idx="0">
                  <c:v>ירידי עידוד עלייה -  גשר ישראלי</c:v>
                </c:pt>
                <c:pt idx="1">
                  <c:v>ירידי עידוד עלייה - כללי</c:v>
                </c:pt>
                <c:pt idx="2">
                  <c:v>ירידי עידוד עלייה בנושא תעסוקה</c:v>
                </c:pt>
                <c:pt idx="3">
                  <c:v>מרכזי הכנה לעלייה (אולפנים) כללי</c:v>
                </c:pt>
                <c:pt idx="4">
                  <c:v>מרכזי הכנה לעלייה למועמדי עלייה - אולפנים אינטנסיביים</c:v>
                </c:pt>
                <c:pt idx="5">
                  <c:v>מרכזי הכנה לעלייה (אולפנים ) לרכזי עלייה </c:v>
                </c:pt>
                <c:pt idx="6">
                  <c:v>סמינרי עידוד עלייה</c:v>
                </c:pt>
                <c:pt idx="7">
                  <c:v>סמינרי עידוד עלייה  לבוגרי  חוויות</c:v>
                </c:pt>
                <c:pt idx="8">
                  <c:v>רכזי שווק  תוכנית עידוד עלייה בקהילות</c:v>
                </c:pt>
                <c:pt idx="9">
                  <c:v>שליח עידוד עלייה נייד/ זמני</c:v>
                </c:pt>
                <c:pt idx="10">
                  <c:v>רכזי פעילות  בנציגויות</c:v>
                </c:pt>
                <c:pt idx="11">
                  <c:v> ( עמ"י)יועצי תעסוקה </c:v>
                </c:pt>
                <c:pt idx="12">
                  <c:v>הכנה לשוק העבודה בישראל</c:v>
                </c:pt>
                <c:pt idx="13">
                  <c:v>הכשרת שליחים וראשי נציגויות (כולל חמ"ע) לרכזי פעילות ויועצי תעסוקה / שליחי עליה</c:v>
                </c:pt>
                <c:pt idx="14">
                  <c:v> בשטח / ישראלהכשרה של צוותי עלייה (עמ"ז)</c:v>
                </c:pt>
                <c:pt idx="15">
                  <c:v>הכשרת צוותים לפני פעילות</c:v>
                </c:pt>
                <c:pt idx="16">
                  <c:v>הכשרת מדריכים ישראלים לפני מחנות סטודנטים (כלל חמ"ע)</c:v>
                </c:pt>
                <c:pt idx="17">
                  <c:v>מחנות עלייה לסטודנטים</c:v>
                </c:pt>
              </c:strCache>
            </c:strRef>
          </c:cat>
          <c:val>
            <c:numRef>
              <c:f>'סיכום 7.16 '!$H$2:$H$19</c:f>
              <c:numCache>
                <c:formatCode>_ [$₪-40D]\ * #,##0_ ;_ [$₪-40D]\ * \-#,##0_ ;_ [$₪-40D]\ * "-"??_ ;_ @_ </c:formatCode>
                <c:ptCount val="18"/>
                <c:pt idx="0">
                  <c:v>818318.90061188815</c:v>
                </c:pt>
                <c:pt idx="1">
                  <c:v>2369951.9160839161</c:v>
                </c:pt>
                <c:pt idx="2">
                  <c:v>686692.55944055947</c:v>
                </c:pt>
                <c:pt idx="3">
                  <c:v>416327.34341042821</c:v>
                </c:pt>
                <c:pt idx="4">
                  <c:v>424272.8</c:v>
                </c:pt>
                <c:pt idx="5">
                  <c:v>0</c:v>
                </c:pt>
                <c:pt idx="6">
                  <c:v>2928227.0559440563</c:v>
                </c:pt>
                <c:pt idx="8">
                  <c:v>325584</c:v>
                </c:pt>
                <c:pt idx="9">
                  <c:v>1262477.8</c:v>
                </c:pt>
                <c:pt idx="10">
                  <c:v>1300925</c:v>
                </c:pt>
                <c:pt idx="11">
                  <c:v>505036</c:v>
                </c:pt>
                <c:pt idx="12">
                  <c:v>409180</c:v>
                </c:pt>
                <c:pt idx="13">
                  <c:v>94848</c:v>
                </c:pt>
                <c:pt idx="14">
                  <c:v>517194</c:v>
                </c:pt>
                <c:pt idx="15">
                  <c:v>11500</c:v>
                </c:pt>
                <c:pt idx="16">
                  <c:v>72780</c:v>
                </c:pt>
                <c:pt idx="17">
                  <c:v>473020.90489510493</c:v>
                </c:pt>
              </c:numCache>
            </c:numRef>
          </c:val>
        </c:ser>
        <c:dLbls>
          <c:showLegendKey val="0"/>
          <c:showVal val="0"/>
          <c:showCatName val="1"/>
          <c:showSerName val="0"/>
          <c:showPercent val="1"/>
          <c:showBubbleSize val="0"/>
          <c:showLeaderLines val="1"/>
        </c:dLbls>
        <c:firstSliceAng val="360"/>
      </c:pieChart>
    </c:plotArea>
    <c:plotVisOnly val="1"/>
    <c:dispBlanksAs val="gap"/>
    <c:showDLblsOverMax val="0"/>
  </c:chart>
  <c:printSettings>
    <c:headerFooter/>
    <c:pageMargins b="0.75" l="0.7" r="0.7" t="0.75" header="0.3" footer="0.3"/>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619125</xdr:colOff>
      <xdr:row>4</xdr:row>
      <xdr:rowOff>142874</xdr:rowOff>
    </xdr:from>
    <xdr:to>
      <xdr:col>31</xdr:col>
      <xdr:colOff>266700</xdr:colOff>
      <xdr:row>25</xdr:row>
      <xdr:rowOff>76200</xdr:rowOff>
    </xdr:to>
    <xdr:graphicFrame macro="">
      <xdr:nvGraphicFramePr>
        <xdr:cNvPr id="2" name="תרשים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1harush/AppData/Local/Microsoft/Windows/Temporary%20Internet%20Files/Content.Outlook/HY6PUY6E/&#1492;&#1488;&#1512;&#1499;&#1514;%20&#1492;&#1505;&#1499;&#1501;%20-%20%2026.11.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1harush/AppData/Local/Microsoft/Windows/Temporary%20Internet%20Files/Content.Outlook/HY6PUY6E/&#1492;&#1488;&#1512;&#1499;&#1514;%20&#1492;&#1505;&#1499;&#1501;%20-%20%2022.11.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1harush/AppData/Local/Microsoft/Windows/Temporary%20Internet%20Files/Content.Outlook/HY6PUY6E/&#1495;&#1502;&#1506;%20&#1492;&#1488;&#1512;&#1499;&#1514;%20%20&#1499;&#1493;&#1500;&#1500;%20&#1506;&#1491;&#1499;&#1493;&#1503;%20&#1502;&#1510;'&#1497;&#1504;&#1490;%20%2022.11.201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ritg/Downloads/&#1488;&#1493;&#1508;&#1511;%20&#1492;&#1488;&#1512;&#1499;&#1492;%20&#1506;&#1491;%2009-17%20-%20&#1495;&#1502;&#1506;%20%2027.10.16-%20&#1502;&#1514;&#1493;&#1511;&#15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r1harush/AppData/Local/Microsoft/Windows/Temporary%20Internet%20Files/Content.Outlook/HY6PUY6E/&#1492;&#1488;&#1512;&#1499;&#1514;%20&#1492;&#1505;&#1499;&#1501;%20-%20%2029.12.1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iritg/Downloads/&#1492;&#1488;&#1512;&#1499;&#1514;%20%20&#1506;&#1491;%2009.17%20-%20&#1502;&#1506;&#1493;&#1491;&#1499;&#1503;%20&#1500;-21.11.16%20%20-%20&#1492;&#1505;&#1493;&#1499;&#1504;&#1493;&#15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r1harush/AppData/Local/Microsoft/Windows/Temporary%20Internet%20Files/Content.Outlook/HY6PUY6E/&#1492;&#1488;&#1512;&#1499;&#1514;%20&#1492;&#1505;&#1499;&#1501;%20&#1488;&#1493;&#1508;&#1511;%20&#1497;&#1513;&#1512;&#1488;&#1500;&#1497;%20&#1506;&#1491;%2009.17%20-%20&#1502;&#1506;&#1493;&#1491;&#1499;&#1503;%20&#1500;-27.10.16%20-%20&#1505;&#1493;&#1499;&#1504;&#1493;&#1514;%20-%20&#1502;&#1514;&#1493;&#1511;&#15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1.07.17"/>
      <sheetName val="ביצוע 31.12"/>
      <sheetName val="סיכום 9.17  (מ)"/>
      <sheetName val="סיכום 9.17 (י)"/>
      <sheetName val="סיכום 7.16 "/>
      <sheetName val="עוגות"/>
      <sheetName val="תקציב פרויקט02.16  "/>
      <sheetName val="גיליון1"/>
      <sheetName val="חמ&quot;ע"/>
      <sheetName val="צרפת"/>
      <sheetName val="אירופה"/>
      <sheetName val="צ.אמריקה (2)"/>
      <sheetName val="צ.אמריקה (15)"/>
      <sheetName val="אנגליה"/>
      <sheetName val="הונגריה ומזרח אירופה"/>
      <sheetName val="סה&quot;כ אמל&quot;ט "/>
      <sheetName val="ארגנטינה"/>
      <sheetName val="ברזיל"/>
      <sheetName val="גלובל"/>
      <sheetName val="הכשרת מורים"/>
    </sheetNames>
    <sheetDataSet>
      <sheetData sheetId="0"/>
      <sheetData sheetId="1"/>
      <sheetData sheetId="2"/>
      <sheetData sheetId="3"/>
      <sheetData sheetId="4"/>
      <sheetData sheetId="5"/>
      <sheetData sheetId="6"/>
      <sheetData sheetId="7"/>
      <sheetData sheetId="8">
        <row r="9">
          <cell r="D9">
            <v>1157.8823529411766</v>
          </cell>
        </row>
        <row r="13">
          <cell r="D13">
            <v>382.0349676059235</v>
          </cell>
        </row>
        <row r="41">
          <cell r="E41">
            <v>2369951.9160839161</v>
          </cell>
        </row>
        <row r="60">
          <cell r="E60">
            <v>686692.46097902092</v>
          </cell>
        </row>
        <row r="161">
          <cell r="R161">
            <v>144381</v>
          </cell>
        </row>
        <row r="162">
          <cell r="R162">
            <v>9044</v>
          </cell>
        </row>
        <row r="164">
          <cell r="R164">
            <v>36822</v>
          </cell>
        </row>
        <row r="165">
          <cell r="R165">
            <v>25428.174999999999</v>
          </cell>
        </row>
        <row r="167">
          <cell r="R167">
            <v>19380</v>
          </cell>
        </row>
        <row r="168">
          <cell r="R168">
            <v>21641</v>
          </cell>
        </row>
        <row r="173">
          <cell r="E173">
            <v>1262477.8</v>
          </cell>
          <cell r="F173">
            <v>222790.2</v>
          </cell>
          <cell r="I173">
            <v>2111052</v>
          </cell>
          <cell r="R173">
            <v>1656294.7578</v>
          </cell>
          <cell r="S173">
            <v>292287.31020000001</v>
          </cell>
          <cell r="V173">
            <v>3277164.333333333</v>
          </cell>
        </row>
        <row r="220">
          <cell r="E220">
            <v>94848</v>
          </cell>
        </row>
        <row r="280">
          <cell r="E280">
            <v>473020.90489510493</v>
          </cell>
          <cell r="R280">
            <v>549092.72</v>
          </cell>
          <cell r="V280">
            <v>952837.59999999986</v>
          </cell>
        </row>
        <row r="295">
          <cell r="E295">
            <v>501750</v>
          </cell>
        </row>
        <row r="321">
          <cell r="E321">
            <v>13484382.727378961</v>
          </cell>
          <cell r="F321">
            <v>598945.19999999995</v>
          </cell>
          <cell r="I321">
            <v>8982589.6070629377</v>
          </cell>
          <cell r="R321">
            <v>15636662.606948523</v>
          </cell>
          <cell r="S321">
            <v>673101.48627142853</v>
          </cell>
        </row>
      </sheetData>
      <sheetData sheetId="9">
        <row r="86">
          <cell r="E86">
            <v>2444590</v>
          </cell>
        </row>
      </sheetData>
      <sheetData sheetId="10"/>
      <sheetData sheetId="11"/>
      <sheetData sheetId="12"/>
      <sheetData sheetId="13">
        <row r="24">
          <cell r="E24">
            <v>528678.52</v>
          </cell>
          <cell r="O24">
            <v>810115.5</v>
          </cell>
        </row>
      </sheetData>
      <sheetData sheetId="14"/>
      <sheetData sheetId="15"/>
      <sheetData sheetId="16">
        <row r="33">
          <cell r="E33">
            <v>302168</v>
          </cell>
        </row>
      </sheetData>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1.07.17"/>
      <sheetName val="ביצוע 31.12"/>
      <sheetName val="מנכ&quot;ל  (מ)"/>
      <sheetName val="סיכום 9.17 הצע"/>
      <sheetName val="סיכום 9.17 סוכנות"/>
      <sheetName val="סיכום 9.17  (מ) (2)"/>
      <sheetName val="סיכום 9.17  (מ) (ס)"/>
      <sheetName val="סיכום 9.17  (מ)"/>
      <sheetName val="סיכום 9.17 (י)"/>
      <sheetName val="סיכום 7.16 "/>
      <sheetName val="סיכום 2.16"/>
      <sheetName val="עוגות"/>
      <sheetName val="תקציב פרויקט02.16  "/>
      <sheetName val="כ&quot;א"/>
      <sheetName val="גיליון1"/>
      <sheetName val="תעסוקה "/>
      <sheetName val="חמ&quot;ע"/>
      <sheetName val="צרפת-ס"/>
      <sheetName val="צרפת -ה"/>
      <sheetName val="צרפת"/>
      <sheetName val="אירופה"/>
      <sheetName val="צ.אמריקה (2)"/>
      <sheetName val="צ.אמריקה (15)"/>
      <sheetName val="אנגליה -ס"/>
      <sheetName val="אנגליה -ה"/>
      <sheetName val="אנגליה"/>
      <sheetName val="הונגריה ומזרח אירופה"/>
      <sheetName val="סה&quot;כ אמל&quot;ט "/>
      <sheetName val="ארגנטינה -ס"/>
      <sheetName val="ארגנטינה-ה"/>
      <sheetName val="ארגנטינה"/>
      <sheetName val="ברזיל -ס"/>
      <sheetName val="ברזיל -ה"/>
      <sheetName val="ברזיל"/>
      <sheetName val="גלובל"/>
      <sheetName val="הכשרת מורים"/>
      <sheetName val="חלוקה"/>
      <sheetName val="תוספות"/>
      <sheetName val="מ.זירה"/>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17">
          <cell r="E17">
            <v>818318.90061188815</v>
          </cell>
          <cell r="R17">
            <v>832480.08</v>
          </cell>
        </row>
        <row r="89">
          <cell r="E89">
            <v>416327.34341042821</v>
          </cell>
        </row>
        <row r="129">
          <cell r="E129">
            <v>2928227.0559440563</v>
          </cell>
        </row>
        <row r="264">
          <cell r="E264">
            <v>517194</v>
          </cell>
          <cell r="R264">
            <v>556229</v>
          </cell>
        </row>
        <row r="286">
          <cell r="E286">
            <v>72780</v>
          </cell>
          <cell r="R286">
            <v>145560</v>
          </cell>
        </row>
      </sheetData>
      <sheetData sheetId="17" refreshError="1"/>
      <sheetData sheetId="18" refreshError="1"/>
      <sheetData sheetId="19" refreshError="1">
        <row r="40">
          <cell r="E40">
            <v>228000</v>
          </cell>
        </row>
        <row r="135">
          <cell r="E135">
            <v>420311.4</v>
          </cell>
          <cell r="O135">
            <v>685095.35000000009</v>
          </cell>
        </row>
        <row r="158">
          <cell r="E158">
            <v>1169480</v>
          </cell>
        </row>
        <row r="180">
          <cell r="E180">
            <v>671220</v>
          </cell>
          <cell r="O180">
            <v>632956</v>
          </cell>
        </row>
        <row r="193">
          <cell r="E193">
            <v>187360</v>
          </cell>
          <cell r="O193">
            <v>43840</v>
          </cell>
        </row>
        <row r="314">
          <cell r="E314">
            <v>9111331.9333333336</v>
          </cell>
          <cell r="O314">
            <v>14195762.35</v>
          </cell>
          <cell r="W314">
            <v>4379720.416666667</v>
          </cell>
          <cell r="X314">
            <v>270556.65000000002</v>
          </cell>
          <cell r="AA314">
            <v>2073314</v>
          </cell>
        </row>
      </sheetData>
      <sheetData sheetId="20" refreshError="1"/>
      <sheetData sheetId="21" refreshError="1"/>
      <sheetData sheetId="22" refreshError="1"/>
      <sheetData sheetId="23" refreshError="1"/>
      <sheetData sheetId="24" refreshError="1"/>
      <sheetData sheetId="25" refreshError="1">
        <row r="105">
          <cell r="E105">
            <v>658488.52</v>
          </cell>
        </row>
      </sheetData>
      <sheetData sheetId="26" refreshError="1"/>
      <sheetData sheetId="27" refreshError="1"/>
      <sheetData sheetId="28" refreshError="1"/>
      <sheetData sheetId="29" refreshError="1"/>
      <sheetData sheetId="30" refreshError="1">
        <row r="58">
          <cell r="E58">
            <v>196000</v>
          </cell>
        </row>
        <row r="78">
          <cell r="R78">
            <v>98860.160000000003</v>
          </cell>
        </row>
      </sheetData>
      <sheetData sheetId="31" refreshError="1"/>
      <sheetData sheetId="32" refreshError="1"/>
      <sheetData sheetId="33" refreshError="1">
        <row r="11">
          <cell r="E11">
            <v>495064</v>
          </cell>
          <cell r="R11">
            <v>249052</v>
          </cell>
        </row>
        <row r="49">
          <cell r="E49">
            <v>154200</v>
          </cell>
        </row>
      </sheetData>
      <sheetData sheetId="34" refreshError="1"/>
      <sheetData sheetId="35" refreshError="1"/>
      <sheetData sheetId="36" refreshError="1"/>
      <sheetData sheetId="37" refreshError="1"/>
      <sheetData sheetId="3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שער"/>
      <sheetName val="רקע"/>
      <sheetName val="סיכום"/>
      <sheetName val="רציונאל"/>
      <sheetName val="PIVOT"/>
      <sheetName val="שווק"/>
      <sheetName val="פרוט (4)"/>
      <sheetName val="פרוט (3)"/>
      <sheetName val="רוסיה"/>
      <sheetName val="אוקראינה"/>
      <sheetName val="רכזים+ר.תעסוקה"/>
      <sheetName val="כ&quot;א"/>
      <sheetName val="תוכנית עבודה"/>
      <sheetName val="גלובל"/>
      <sheetName val="15%"/>
    </sheetNames>
    <sheetDataSet>
      <sheetData sheetId="0"/>
      <sheetData sheetId="1"/>
      <sheetData sheetId="2"/>
      <sheetData sheetId="3"/>
      <sheetData sheetId="4"/>
      <sheetData sheetId="5"/>
      <sheetData sheetId="6">
        <row r="4">
          <cell r="Z4">
            <v>13412298.684009325</v>
          </cell>
        </row>
        <row r="52">
          <cell r="Z52">
            <v>210400</v>
          </cell>
        </row>
        <row r="83">
          <cell r="V83">
            <v>201779.34341042821</v>
          </cell>
          <cell r="Z83">
            <v>2683433.3333333335</v>
          </cell>
        </row>
        <row r="104">
          <cell r="Z104">
            <v>32940.720000000001</v>
          </cell>
        </row>
        <row r="120">
          <cell r="Z120">
            <v>454663</v>
          </cell>
        </row>
        <row r="187">
          <cell r="Z187">
            <v>3500028</v>
          </cell>
        </row>
        <row r="189">
          <cell r="Z189">
            <v>5476028</v>
          </cell>
        </row>
        <row r="226">
          <cell r="Z226">
            <v>69008</v>
          </cell>
        </row>
        <row r="273">
          <cell r="Z273">
            <v>72780</v>
          </cell>
        </row>
        <row r="306">
          <cell r="Z306">
            <v>12500</v>
          </cell>
        </row>
        <row r="348">
          <cell r="Z348">
            <v>134900</v>
          </cell>
        </row>
      </sheetData>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שער"/>
      <sheetName val="רקע"/>
      <sheetName val="סיכום"/>
      <sheetName val="רציונאל"/>
      <sheetName val="PIVOT"/>
      <sheetName val="שווק"/>
      <sheetName val="פרוט (3)"/>
      <sheetName val="רוסיה"/>
      <sheetName val="אוקראינה"/>
      <sheetName val="רכזים+ר.תעסוקה"/>
      <sheetName val="כ&quot;א"/>
      <sheetName val="תוכנית עבודה"/>
      <sheetName val="גלובל"/>
      <sheetName val="15%"/>
    </sheetNames>
    <sheetDataSet>
      <sheetData sheetId="0"/>
      <sheetData sheetId="1"/>
      <sheetData sheetId="2"/>
      <sheetData sheetId="3"/>
      <sheetData sheetId="4"/>
      <sheetData sheetId="5"/>
      <sheetData sheetId="6">
        <row r="4">
          <cell r="V4">
            <v>15023603.487066068</v>
          </cell>
        </row>
        <row r="214">
          <cell r="V214">
            <v>94848</v>
          </cell>
        </row>
        <row r="239">
          <cell r="V239">
            <v>556685</v>
          </cell>
        </row>
        <row r="294">
          <cell r="V294">
            <v>1002500</v>
          </cell>
        </row>
        <row r="301">
          <cell r="V301">
            <v>150000</v>
          </cell>
        </row>
      </sheetData>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1.07.17"/>
      <sheetName val="ביצוע 31.12"/>
      <sheetName val="."/>
      <sheetName val="נתוח תוספות"/>
      <sheetName val="מנכ&quot;ל  (מ)"/>
      <sheetName val="סיכום 9.17 הצע"/>
      <sheetName val="סיכום 9.17 סוכנות"/>
      <sheetName val="סיכום 9.17  (מ) (2)"/>
      <sheetName val="סיכום 9.17  (מ) (ס)"/>
      <sheetName val="גיליון2"/>
      <sheetName val="משתתפים 9.17  "/>
      <sheetName val="סיכום 9.17  (מ)"/>
      <sheetName val="סיכום 9.17 (י)"/>
      <sheetName val="גיליון3"/>
      <sheetName val="תקציב פרויקט 09.17"/>
      <sheetName val="סיכום 7.16 "/>
      <sheetName val="סיכום 2.16"/>
      <sheetName val="עוגות"/>
      <sheetName val="תקציב פרויקט02.16  "/>
      <sheetName val="כ&quot;א"/>
      <sheetName val="גיליון1"/>
      <sheetName val="תעסוקה "/>
      <sheetName val="חמ&quot;ע"/>
      <sheetName val="צרפת-ס"/>
      <sheetName val="צרפת -ה"/>
      <sheetName val="צרפת"/>
      <sheetName val="אירופה"/>
      <sheetName val="צ.אמריקה (2)"/>
      <sheetName val="צ.אמריקה (15)"/>
      <sheetName val="אנגליה -ס"/>
      <sheetName val="אנגליה -ה"/>
      <sheetName val="אנגליה"/>
      <sheetName val="הונגריה ומזרח אירופה"/>
      <sheetName val="ארגנטינה -ס"/>
      <sheetName val="ארגנטינה-ה"/>
      <sheetName val="ארגנטינה"/>
      <sheetName val="ברזיל -ס"/>
      <sheetName val="ברזיל -ה"/>
      <sheetName val="ברזיל"/>
      <sheetName val="גלובל"/>
      <sheetName val="הכשרת מורים"/>
      <sheetName val="חלוקה"/>
      <sheetName val="תוספות"/>
      <sheetName val="מ.זירה"/>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47">
          <cell r="O47">
            <v>520610</v>
          </cell>
        </row>
        <row r="60">
          <cell r="O60">
            <v>750600</v>
          </cell>
        </row>
      </sheetData>
      <sheetData sheetId="24"/>
      <sheetData sheetId="25">
        <row r="22">
          <cell r="O22">
            <v>1053519.6000000001</v>
          </cell>
        </row>
        <row r="80">
          <cell r="O80">
            <v>3313468</v>
          </cell>
        </row>
        <row r="193">
          <cell r="O193">
            <v>1426937.5</v>
          </cell>
          <cell r="P193">
            <v>251812.5</v>
          </cell>
          <cell r="S193">
            <v>3097500</v>
          </cell>
        </row>
        <row r="306">
          <cell r="O306">
            <v>14311250.129999999</v>
          </cell>
          <cell r="P306">
            <v>752168.55</v>
          </cell>
          <cell r="Q306">
            <v>0</v>
          </cell>
          <cell r="R306">
            <v>0</v>
          </cell>
          <cell r="S306">
            <v>4718448</v>
          </cell>
        </row>
      </sheetData>
      <sheetData sheetId="26"/>
      <sheetData sheetId="27">
        <row r="88">
          <cell r="O88">
            <v>11400</v>
          </cell>
        </row>
        <row r="89">
          <cell r="O89">
            <v>30400</v>
          </cell>
        </row>
        <row r="90">
          <cell r="O90">
            <v>6840</v>
          </cell>
        </row>
        <row r="91">
          <cell r="O91">
            <v>15002.400000000001</v>
          </cell>
        </row>
        <row r="111">
          <cell r="O111">
            <v>89624.49</v>
          </cell>
        </row>
        <row r="114">
          <cell r="O114">
            <v>79800</v>
          </cell>
        </row>
        <row r="115">
          <cell r="O115">
            <v>68400</v>
          </cell>
        </row>
      </sheetData>
      <sheetData sheetId="28"/>
      <sheetData sheetId="29"/>
      <sheetData sheetId="30"/>
      <sheetData sheetId="31"/>
      <sheetData sheetId="32"/>
      <sheetData sheetId="33"/>
      <sheetData sheetId="34"/>
      <sheetData sheetId="35">
        <row r="103">
          <cell r="R103">
            <v>153425</v>
          </cell>
          <cell r="S103">
            <v>27075</v>
          </cell>
          <cell r="V103">
            <v>361000</v>
          </cell>
        </row>
      </sheetData>
      <sheetData sheetId="36"/>
      <sheetData sheetId="37"/>
      <sheetData sheetId="38">
        <row r="99">
          <cell r="R99">
            <v>188955</v>
          </cell>
          <cell r="S99">
            <v>33345</v>
          </cell>
          <cell r="V99">
            <v>342000</v>
          </cell>
        </row>
      </sheetData>
      <sheetData sheetId="39"/>
      <sheetData sheetId="40"/>
      <sheetData sheetId="41"/>
      <sheetData sheetId="42"/>
      <sheetData sheetId="4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פורמט משרד כולל יהודה"/>
      <sheetName val="פורמט משרד"/>
      <sheetName val="סיכום כללי"/>
      <sheetName val="פורמט משרד בלי להוריד"/>
      <sheetName val="גיליון2"/>
    </sheetNames>
    <sheetDataSet>
      <sheetData sheetId="0"/>
      <sheetData sheetId="1">
        <row r="201">
          <cell r="Q201">
            <v>410476</v>
          </cell>
        </row>
        <row r="235">
          <cell r="U235">
            <v>3413750</v>
          </cell>
        </row>
        <row r="286">
          <cell r="Q286">
            <v>274132</v>
          </cell>
        </row>
      </sheetData>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פורמט משרד כולל יהודה"/>
      <sheetName val="פורמט משרד מקוצר"/>
      <sheetName val="פורמט משרד"/>
      <sheetName val="סיכום כללי"/>
      <sheetName val="גיליון2"/>
    </sheetNames>
    <sheetDataSet>
      <sheetData sheetId="0" refreshError="1"/>
      <sheetData sheetId="1" refreshError="1">
        <row r="14">
          <cell r="Q14">
            <v>249052</v>
          </cell>
        </row>
        <row r="36">
          <cell r="Q36">
            <v>208335</v>
          </cell>
          <cell r="R36">
            <v>36765</v>
          </cell>
        </row>
        <row r="117">
          <cell r="Q117">
            <v>196222.5</v>
          </cell>
          <cell r="R117">
            <v>34627.5</v>
          </cell>
        </row>
        <row r="144">
          <cell r="Q144">
            <v>180310</v>
          </cell>
        </row>
        <row r="243">
          <cell r="Q243">
            <v>302600</v>
          </cell>
        </row>
        <row r="273">
          <cell r="Q273">
            <v>1178741.666666666</v>
          </cell>
        </row>
        <row r="304">
          <cell r="Q304">
            <v>77000</v>
          </cell>
        </row>
        <row r="313">
          <cell r="Q313">
            <v>230000</v>
          </cell>
        </row>
        <row r="375">
          <cell r="Q375">
            <v>151658</v>
          </cell>
        </row>
        <row r="382">
          <cell r="Q382">
            <v>115961.25</v>
          </cell>
        </row>
      </sheetData>
      <sheetData sheetId="2" refreshError="1"/>
      <sheetData sheetId="3" refreshError="1"/>
      <sheetData sheetId="4" refreshError="1"/>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5"/>
  <sheetViews>
    <sheetView rightToLeft="1" topLeftCell="O1" workbookViewId="0">
      <pane xSplit="1" ySplit="23" topLeftCell="S84" activePane="bottomRight" state="frozen"/>
      <selection activeCell="O1" sqref="O1"/>
      <selection pane="topRight" activeCell="P1" sqref="P1"/>
      <selection pane="bottomLeft" activeCell="O24" sqref="O24"/>
      <selection pane="bottomRight" activeCell="V47" sqref="V47"/>
    </sheetView>
  </sheetViews>
  <sheetFormatPr defaultColWidth="9.125" defaultRowHeight="15" x14ac:dyDescent="0.2"/>
  <cols>
    <col min="1" max="1" width="11.25" style="1444" customWidth="1"/>
    <col min="2" max="3" width="11.25" style="1445" customWidth="1"/>
    <col min="4" max="5" width="11.25" style="652" customWidth="1"/>
    <col min="6" max="7" width="11.25" style="1451" customWidth="1"/>
    <col min="8" max="8" width="11.25" style="652" customWidth="1"/>
    <col min="9" max="9" width="11.25" style="1451" customWidth="1"/>
    <col min="10" max="10" width="11.25" style="652" customWidth="1"/>
    <col min="11" max="14" width="12.75" style="1444" customWidth="1"/>
    <col min="15" max="15" width="20.75" style="1445" customWidth="1"/>
    <col min="16" max="16" width="5" style="1445" customWidth="1"/>
    <col min="17" max="17" width="48.875" style="652" customWidth="1"/>
    <col min="18" max="18" width="5.125" style="653" customWidth="1"/>
    <col min="19" max="19" width="12.875" style="653" customWidth="1"/>
    <col min="20" max="21" width="10.625" style="653" customWidth="1"/>
    <col min="22" max="22" width="10.875" style="653" customWidth="1"/>
    <col min="23" max="23" width="10.625" style="653" customWidth="1"/>
    <col min="24" max="24" width="12.375" style="653" customWidth="1"/>
    <col min="25" max="26" width="10.625" style="653" customWidth="1"/>
    <col min="27" max="27" width="6.625" style="1446" customWidth="1"/>
    <col min="28" max="28" width="11.375" style="653" customWidth="1"/>
    <col min="29" max="29" width="13.125" style="653" customWidth="1"/>
    <col min="30" max="30" width="10.375" style="653" customWidth="1"/>
    <col min="31" max="31" width="6.625" style="653" customWidth="1"/>
    <col min="32" max="32" width="9.375" style="1446" customWidth="1"/>
    <col min="33" max="33" width="14.75" style="653" customWidth="1"/>
    <col min="34" max="34" width="13.75" style="653" bestFit="1" customWidth="1"/>
    <col min="35" max="35" width="12.25" style="653" customWidth="1"/>
    <col min="36" max="16384" width="9.125" style="652"/>
  </cols>
  <sheetData>
    <row r="1" spans="1:35" ht="17.25" thickBot="1" x14ac:dyDescent="0.25">
      <c r="A1" s="3003" t="s">
        <v>704</v>
      </c>
      <c r="B1" s="3004"/>
      <c r="C1" s="3004"/>
      <c r="D1" s="3004"/>
      <c r="E1" s="3004"/>
      <c r="F1" s="3004"/>
      <c r="G1" s="3004"/>
      <c r="H1" s="3004"/>
      <c r="I1" s="3005"/>
      <c r="K1" s="3003" t="s">
        <v>705</v>
      </c>
      <c r="L1" s="3004"/>
      <c r="M1" s="3004"/>
      <c r="N1" s="3004"/>
      <c r="O1" s="3004"/>
      <c r="P1" s="3004"/>
      <c r="Q1" s="3004"/>
      <c r="R1" s="3004"/>
      <c r="S1" s="3004"/>
      <c r="T1" s="3004"/>
      <c r="U1" s="3004"/>
      <c r="V1" s="3004"/>
      <c r="W1" s="3004"/>
      <c r="X1" s="3004"/>
      <c r="Y1" s="3004"/>
      <c r="Z1" s="3004"/>
      <c r="AA1" s="3004"/>
      <c r="AB1" s="3004"/>
      <c r="AC1" s="3004"/>
      <c r="AD1" s="3004"/>
      <c r="AE1" s="3004"/>
      <c r="AF1" s="3004"/>
      <c r="AG1" s="3005"/>
    </row>
    <row r="2" spans="1:35" ht="17.25" thickBot="1" x14ac:dyDescent="0.25">
      <c r="A2" s="654"/>
      <c r="B2" s="655"/>
      <c r="C2" s="655"/>
      <c r="D2" s="655"/>
      <c r="E2" s="655"/>
      <c r="F2" s="655"/>
      <c r="G2" s="655"/>
      <c r="H2" s="655"/>
      <c r="I2" s="656"/>
      <c r="K2" s="657"/>
      <c r="L2" s="3006" t="s">
        <v>706</v>
      </c>
      <c r="M2" s="3007"/>
      <c r="N2" s="3008"/>
      <c r="O2" s="658"/>
      <c r="P2" s="658"/>
      <c r="Q2" s="658"/>
      <c r="R2" s="3009" t="s">
        <v>707</v>
      </c>
      <c r="S2" s="3010"/>
      <c r="T2" s="3011"/>
      <c r="U2" s="3012" t="s">
        <v>708</v>
      </c>
      <c r="V2" s="3013"/>
      <c r="W2" s="3014"/>
      <c r="X2" s="1493"/>
      <c r="Y2" s="1493"/>
      <c r="Z2" s="1493"/>
      <c r="AA2" s="3015" t="s">
        <v>709</v>
      </c>
      <c r="AB2" s="3016"/>
      <c r="AC2" s="3016"/>
      <c r="AD2" s="3017"/>
      <c r="AE2" s="659"/>
      <c r="AF2" s="659"/>
      <c r="AG2" s="660"/>
      <c r="AH2" s="3015" t="s">
        <v>710</v>
      </c>
      <c r="AI2" s="3017"/>
    </row>
    <row r="3" spans="1:35" ht="42.75" thickBot="1" x14ac:dyDescent="0.25">
      <c r="A3" s="661" t="s">
        <v>17</v>
      </c>
      <c r="B3" s="662" t="s">
        <v>52</v>
      </c>
      <c r="C3" s="662"/>
      <c r="D3" s="662" t="s">
        <v>3</v>
      </c>
      <c r="E3" s="662" t="s">
        <v>30</v>
      </c>
      <c r="F3" s="663" t="s">
        <v>80</v>
      </c>
      <c r="G3" s="663" t="s">
        <v>59</v>
      </c>
      <c r="H3" s="662" t="s">
        <v>711</v>
      </c>
      <c r="I3" s="664" t="s">
        <v>1</v>
      </c>
      <c r="K3" s="665" t="s">
        <v>17</v>
      </c>
      <c r="L3" s="661" t="s">
        <v>712</v>
      </c>
      <c r="M3" s="666" t="s">
        <v>713</v>
      </c>
      <c r="N3" s="667" t="s">
        <v>714</v>
      </c>
      <c r="O3" s="668" t="s">
        <v>52</v>
      </c>
      <c r="P3" s="662"/>
      <c r="Q3" s="669" t="s">
        <v>3</v>
      </c>
      <c r="R3" s="670" t="s">
        <v>30</v>
      </c>
      <c r="S3" s="671" t="s">
        <v>80</v>
      </c>
      <c r="T3" s="672" t="s">
        <v>59</v>
      </c>
      <c r="U3" s="670" t="s">
        <v>30</v>
      </c>
      <c r="V3" s="671" t="s">
        <v>80</v>
      </c>
      <c r="W3" s="672" t="s">
        <v>59</v>
      </c>
      <c r="X3" s="1494" t="s">
        <v>1</v>
      </c>
      <c r="Y3" s="1494" t="s">
        <v>15</v>
      </c>
      <c r="Z3" s="1494"/>
      <c r="AA3" s="673" t="s">
        <v>30</v>
      </c>
      <c r="AB3" s="674"/>
      <c r="AC3" s="674" t="s">
        <v>80</v>
      </c>
      <c r="AD3" s="675" t="s">
        <v>59</v>
      </c>
      <c r="AE3" s="676"/>
      <c r="AF3" s="677" t="s">
        <v>711</v>
      </c>
      <c r="AG3" s="678" t="s">
        <v>1</v>
      </c>
      <c r="AH3" s="679" t="s">
        <v>715</v>
      </c>
      <c r="AI3" s="680" t="s">
        <v>716</v>
      </c>
    </row>
    <row r="4" spans="1:35" ht="15" hidden="1" customHeight="1" x14ac:dyDescent="0.2">
      <c r="A4" s="3018" t="s">
        <v>21</v>
      </c>
      <c r="B4" s="3021" t="s">
        <v>4</v>
      </c>
      <c r="C4" s="681">
        <v>1.1000000000000001</v>
      </c>
      <c r="D4" s="682" t="s">
        <v>227</v>
      </c>
      <c r="E4" s="682">
        <v>102</v>
      </c>
      <c r="F4" s="683">
        <v>818318.90061188815</v>
      </c>
      <c r="G4" s="683">
        <v>0</v>
      </c>
      <c r="H4" s="682">
        <v>0</v>
      </c>
      <c r="I4" s="683">
        <v>0</v>
      </c>
      <c r="K4" s="3024" t="s">
        <v>21</v>
      </c>
      <c r="L4" s="684"/>
      <c r="M4" s="685"/>
      <c r="N4" s="686"/>
      <c r="O4" s="3027" t="s">
        <v>4</v>
      </c>
      <c r="P4" s="681">
        <v>1.1000000000000001</v>
      </c>
      <c r="Q4" s="687" t="s">
        <v>227</v>
      </c>
      <c r="R4" s="688">
        <v>102</v>
      </c>
      <c r="S4" s="689">
        <v>818318.90061188815</v>
      </c>
      <c r="T4" s="690">
        <v>0</v>
      </c>
      <c r="U4" s="691"/>
      <c r="V4" s="692"/>
      <c r="W4" s="693"/>
      <c r="X4" s="692"/>
      <c r="Y4" s="692"/>
      <c r="Z4" s="692"/>
      <c r="AA4" s="694"/>
      <c r="AB4" s="695"/>
      <c r="AC4" s="689"/>
      <c r="AD4" s="690"/>
      <c r="AE4" s="696"/>
      <c r="AF4" s="697"/>
      <c r="AG4" s="698"/>
      <c r="AH4" s="699">
        <v>0</v>
      </c>
      <c r="AI4" s="690"/>
    </row>
    <row r="5" spans="1:35" ht="15" hidden="1" customHeight="1" x14ac:dyDescent="0.2">
      <c r="A5" s="3019"/>
      <c r="B5" s="3022"/>
      <c r="C5" s="700">
        <v>1.2</v>
      </c>
      <c r="D5" s="701" t="s">
        <v>241</v>
      </c>
      <c r="E5" s="701">
        <v>13</v>
      </c>
      <c r="F5" s="702">
        <v>2369951.9160839161</v>
      </c>
      <c r="G5" s="702">
        <v>0</v>
      </c>
      <c r="H5" s="701"/>
      <c r="I5" s="702">
        <v>0</v>
      </c>
      <c r="K5" s="3025"/>
      <c r="L5" s="703"/>
      <c r="M5" s="704"/>
      <c r="N5" s="705"/>
      <c r="O5" s="3028"/>
      <c r="P5" s="700">
        <v>1.2</v>
      </c>
      <c r="Q5" s="706" t="s">
        <v>241</v>
      </c>
      <c r="R5" s="707">
        <v>13</v>
      </c>
      <c r="S5" s="708">
        <v>2369951.9160839161</v>
      </c>
      <c r="T5" s="709">
        <v>0</v>
      </c>
      <c r="U5" s="710"/>
      <c r="V5" s="711"/>
      <c r="W5" s="712"/>
      <c r="X5" s="711"/>
      <c r="Y5" s="711"/>
      <c r="Z5" s="711"/>
      <c r="AA5" s="713"/>
      <c r="AB5" s="714"/>
      <c r="AC5" s="708"/>
      <c r="AD5" s="709"/>
      <c r="AE5" s="715"/>
      <c r="AF5" s="716"/>
      <c r="AG5" s="717"/>
      <c r="AH5" s="718">
        <v>0</v>
      </c>
      <c r="AI5" s="709"/>
    </row>
    <row r="6" spans="1:35" ht="15" hidden="1" customHeight="1" x14ac:dyDescent="0.2">
      <c r="A6" s="3019"/>
      <c r="B6" s="3023"/>
      <c r="C6" s="700">
        <v>1.3</v>
      </c>
      <c r="D6" s="701" t="s">
        <v>253</v>
      </c>
      <c r="E6" s="701">
        <v>24</v>
      </c>
      <c r="F6" s="702">
        <v>686692.55944055947</v>
      </c>
      <c r="G6" s="702">
        <v>0</v>
      </c>
      <c r="H6" s="701">
        <v>0</v>
      </c>
      <c r="I6" s="702">
        <v>0</v>
      </c>
      <c r="K6" s="3025"/>
      <c r="L6" s="719"/>
      <c r="M6" s="720"/>
      <c r="N6" s="721"/>
      <c r="O6" s="3029"/>
      <c r="P6" s="700">
        <v>1.3</v>
      </c>
      <c r="Q6" s="706" t="s">
        <v>253</v>
      </c>
      <c r="R6" s="707">
        <v>24</v>
      </c>
      <c r="S6" s="708">
        <v>686692.55944055947</v>
      </c>
      <c r="T6" s="709">
        <v>0</v>
      </c>
      <c r="U6" s="710"/>
      <c r="V6" s="711"/>
      <c r="W6" s="712"/>
      <c r="X6" s="711"/>
      <c r="Y6" s="711"/>
      <c r="Z6" s="711"/>
      <c r="AA6" s="713"/>
      <c r="AB6" s="714"/>
      <c r="AC6" s="708"/>
      <c r="AD6" s="709"/>
      <c r="AE6" s="715"/>
      <c r="AF6" s="716"/>
      <c r="AG6" s="717"/>
      <c r="AH6" s="718">
        <v>0</v>
      </c>
      <c r="AI6" s="709"/>
    </row>
    <row r="7" spans="1:35" ht="21.75" hidden="1" customHeight="1" x14ac:dyDescent="0.2">
      <c r="A7" s="3019"/>
      <c r="B7" s="3030" t="s">
        <v>57</v>
      </c>
      <c r="C7" s="722">
        <v>2.1</v>
      </c>
      <c r="D7" s="723" t="s">
        <v>260</v>
      </c>
      <c r="E7" s="723">
        <v>40</v>
      </c>
      <c r="F7" s="724">
        <v>416327.34341042821</v>
      </c>
      <c r="G7" s="724">
        <v>0</v>
      </c>
      <c r="H7" s="723">
        <v>100</v>
      </c>
      <c r="I7" s="724">
        <v>1694800</v>
      </c>
      <c r="K7" s="3025"/>
      <c r="L7" s="725"/>
      <c r="M7" s="726"/>
      <c r="N7" s="727"/>
      <c r="O7" s="3031" t="s">
        <v>57</v>
      </c>
      <c r="P7" s="722">
        <v>2.1</v>
      </c>
      <c r="Q7" s="728" t="s">
        <v>260</v>
      </c>
      <c r="R7" s="729">
        <v>40</v>
      </c>
      <c r="S7" s="730">
        <v>416327.34341042821</v>
      </c>
      <c r="T7" s="731">
        <v>0</v>
      </c>
      <c r="U7" s="732"/>
      <c r="V7" s="733"/>
      <c r="W7" s="734"/>
      <c r="X7" s="733"/>
      <c r="Y7" s="733"/>
      <c r="Z7" s="733"/>
      <c r="AA7" s="735"/>
      <c r="AB7" s="736"/>
      <c r="AC7" s="730"/>
      <c r="AD7" s="731"/>
      <c r="AE7" s="737"/>
      <c r="AF7" s="738"/>
      <c r="AG7" s="739"/>
      <c r="AH7" s="740">
        <v>1694800</v>
      </c>
      <c r="AI7" s="731"/>
    </row>
    <row r="8" spans="1:35" ht="21.75" hidden="1" customHeight="1" x14ac:dyDescent="0.2">
      <c r="A8" s="3019"/>
      <c r="B8" s="3022"/>
      <c r="C8" s="722">
        <v>2.2000000000000002</v>
      </c>
      <c r="D8" s="723" t="s">
        <v>275</v>
      </c>
      <c r="E8" s="723">
        <v>42</v>
      </c>
      <c r="F8" s="724">
        <v>424272.8</v>
      </c>
      <c r="G8" s="724">
        <v>0</v>
      </c>
      <c r="H8" s="723">
        <v>0</v>
      </c>
      <c r="I8" s="724">
        <v>0</v>
      </c>
      <c r="K8" s="3025"/>
      <c r="L8" s="703"/>
      <c r="M8" s="704"/>
      <c r="N8" s="705"/>
      <c r="O8" s="3028"/>
      <c r="P8" s="722">
        <v>2.2000000000000002</v>
      </c>
      <c r="Q8" s="728" t="s">
        <v>275</v>
      </c>
      <c r="R8" s="729">
        <v>42</v>
      </c>
      <c r="S8" s="730">
        <v>424272.8</v>
      </c>
      <c r="T8" s="731">
        <v>0</v>
      </c>
      <c r="U8" s="732"/>
      <c r="V8" s="733"/>
      <c r="W8" s="734"/>
      <c r="X8" s="733"/>
      <c r="Y8" s="733"/>
      <c r="Z8" s="733"/>
      <c r="AA8" s="735"/>
      <c r="AB8" s="736"/>
      <c r="AC8" s="730"/>
      <c r="AD8" s="731"/>
      <c r="AE8" s="737"/>
      <c r="AF8" s="738"/>
      <c r="AG8" s="739"/>
      <c r="AH8" s="740">
        <v>0</v>
      </c>
      <c r="AI8" s="731"/>
    </row>
    <row r="9" spans="1:35" ht="21.75" hidden="1" customHeight="1" x14ac:dyDescent="0.2">
      <c r="A9" s="3019"/>
      <c r="B9" s="3023"/>
      <c r="C9" s="722">
        <v>2.2999999999999998</v>
      </c>
      <c r="D9" s="723" t="s">
        <v>282</v>
      </c>
      <c r="E9" s="723">
        <v>0</v>
      </c>
      <c r="F9" s="724">
        <v>0</v>
      </c>
      <c r="G9" s="724">
        <v>0</v>
      </c>
      <c r="H9" s="723">
        <v>6</v>
      </c>
      <c r="I9" s="724">
        <v>32940.720000000001</v>
      </c>
      <c r="K9" s="3025"/>
      <c r="L9" s="719"/>
      <c r="M9" s="720"/>
      <c r="N9" s="721"/>
      <c r="O9" s="3029"/>
      <c r="P9" s="722">
        <v>2.2999999999999998</v>
      </c>
      <c r="Q9" s="728" t="s">
        <v>282</v>
      </c>
      <c r="R9" s="729">
        <v>0</v>
      </c>
      <c r="S9" s="730">
        <v>0</v>
      </c>
      <c r="T9" s="731">
        <v>0</v>
      </c>
      <c r="U9" s="732"/>
      <c r="V9" s="733"/>
      <c r="W9" s="734"/>
      <c r="X9" s="733"/>
      <c r="Y9" s="733"/>
      <c r="Z9" s="733"/>
      <c r="AA9" s="735"/>
      <c r="AB9" s="736"/>
      <c r="AC9" s="730"/>
      <c r="AD9" s="731"/>
      <c r="AE9" s="737"/>
      <c r="AF9" s="738"/>
      <c r="AG9" s="739"/>
      <c r="AH9" s="740">
        <v>32940.720000000001</v>
      </c>
      <c r="AI9" s="731"/>
    </row>
    <row r="10" spans="1:35" ht="15" hidden="1" customHeight="1" x14ac:dyDescent="0.2">
      <c r="A10" s="3019"/>
      <c r="B10" s="3032" t="s">
        <v>29</v>
      </c>
      <c r="C10" s="741">
        <v>3.1</v>
      </c>
      <c r="D10" s="723" t="s">
        <v>27</v>
      </c>
      <c r="E10" s="723">
        <v>49</v>
      </c>
      <c r="F10" s="724">
        <v>2928227.0559440563</v>
      </c>
      <c r="G10" s="724">
        <v>0</v>
      </c>
      <c r="H10" s="723">
        <v>8</v>
      </c>
      <c r="I10" s="724">
        <v>479783.1468531469</v>
      </c>
      <c r="K10" s="3025"/>
      <c r="L10" s="725"/>
      <c r="M10" s="726"/>
      <c r="N10" s="727"/>
      <c r="O10" s="3034" t="s">
        <v>29</v>
      </c>
      <c r="P10" s="741">
        <v>3.1</v>
      </c>
      <c r="Q10" s="728" t="s">
        <v>27</v>
      </c>
      <c r="R10" s="729">
        <v>49</v>
      </c>
      <c r="S10" s="730">
        <v>2928227.0559440563</v>
      </c>
      <c r="T10" s="731">
        <v>0</v>
      </c>
      <c r="U10" s="732"/>
      <c r="V10" s="733"/>
      <c r="W10" s="734"/>
      <c r="X10" s="733"/>
      <c r="Y10" s="733"/>
      <c r="Z10" s="733"/>
      <c r="AA10" s="735"/>
      <c r="AB10" s="736"/>
      <c r="AC10" s="730"/>
      <c r="AD10" s="731"/>
      <c r="AE10" s="737"/>
      <c r="AF10" s="738"/>
      <c r="AG10" s="739"/>
      <c r="AH10" s="740">
        <v>479783.1468531469</v>
      </c>
      <c r="AI10" s="731"/>
    </row>
    <row r="11" spans="1:35" ht="15" hidden="1" customHeight="1" x14ac:dyDescent="0.2">
      <c r="A11" s="3019"/>
      <c r="B11" s="3033"/>
      <c r="C11" s="741">
        <v>3.2</v>
      </c>
      <c r="D11" s="723" t="s">
        <v>294</v>
      </c>
      <c r="E11" s="723">
        <v>5</v>
      </c>
      <c r="F11" s="724">
        <v>359248.54545454547</v>
      </c>
      <c r="G11" s="724">
        <v>0</v>
      </c>
      <c r="H11" s="723">
        <v>2</v>
      </c>
      <c r="I11" s="724">
        <v>125095.27272727274</v>
      </c>
      <c r="K11" s="3025"/>
      <c r="L11" s="719"/>
      <c r="M11" s="720"/>
      <c r="N11" s="721"/>
      <c r="O11" s="3035"/>
      <c r="P11" s="741">
        <v>3.2</v>
      </c>
      <c r="Q11" s="728" t="s">
        <v>294</v>
      </c>
      <c r="R11" s="729">
        <v>5</v>
      </c>
      <c r="S11" s="730">
        <v>359248.54545454547</v>
      </c>
      <c r="T11" s="731">
        <v>0</v>
      </c>
      <c r="U11" s="732"/>
      <c r="V11" s="733"/>
      <c r="W11" s="734"/>
      <c r="X11" s="733"/>
      <c r="Y11" s="733"/>
      <c r="Z11" s="733"/>
      <c r="AA11" s="735"/>
      <c r="AB11" s="736"/>
      <c r="AC11" s="730"/>
      <c r="AD11" s="731"/>
      <c r="AE11" s="737"/>
      <c r="AF11" s="738"/>
      <c r="AG11" s="739"/>
      <c r="AH11" s="740">
        <v>125095.27272727274</v>
      </c>
      <c r="AI11" s="731"/>
    </row>
    <row r="12" spans="1:35" ht="15" hidden="1" customHeight="1" x14ac:dyDescent="0.2">
      <c r="A12" s="3019"/>
      <c r="B12" s="3030" t="s">
        <v>6</v>
      </c>
      <c r="C12" s="722">
        <v>4.0999999999999996</v>
      </c>
      <c r="D12" s="723" t="s">
        <v>315</v>
      </c>
      <c r="E12" s="723">
        <v>70</v>
      </c>
      <c r="F12" s="724">
        <v>325584</v>
      </c>
      <c r="G12" s="724">
        <v>57456</v>
      </c>
      <c r="H12" s="723">
        <v>0</v>
      </c>
      <c r="I12" s="724">
        <v>0</v>
      </c>
      <c r="K12" s="3025"/>
      <c r="L12" s="742"/>
      <c r="M12" s="743"/>
      <c r="N12" s="744"/>
      <c r="O12" s="3031" t="s">
        <v>6</v>
      </c>
      <c r="P12" s="722">
        <v>4.0999999999999996</v>
      </c>
      <c r="Q12" s="728" t="s">
        <v>315</v>
      </c>
      <c r="R12" s="729">
        <v>70</v>
      </c>
      <c r="S12" s="730">
        <v>325584</v>
      </c>
      <c r="T12" s="731">
        <v>57456</v>
      </c>
      <c r="U12" s="732"/>
      <c r="V12" s="733"/>
      <c r="W12" s="734"/>
      <c r="X12" s="733"/>
      <c r="Y12" s="733"/>
      <c r="Z12" s="733"/>
      <c r="AA12" s="735"/>
      <c r="AB12" s="736"/>
      <c r="AC12" s="730"/>
      <c r="AD12" s="731"/>
      <c r="AE12" s="737"/>
      <c r="AF12" s="738"/>
      <c r="AG12" s="739"/>
      <c r="AH12" s="740">
        <v>0</v>
      </c>
      <c r="AI12" s="731"/>
    </row>
    <row r="13" spans="1:35" ht="15" hidden="1" customHeight="1" x14ac:dyDescent="0.2">
      <c r="A13" s="3019"/>
      <c r="B13" s="3022"/>
      <c r="C13" s="722">
        <v>4.2</v>
      </c>
      <c r="D13" s="723" t="s">
        <v>318</v>
      </c>
      <c r="E13" s="723">
        <v>6</v>
      </c>
      <c r="F13" s="724">
        <v>1262477.8</v>
      </c>
      <c r="G13" s="724">
        <v>222790.2</v>
      </c>
      <c r="H13" s="723">
        <v>0</v>
      </c>
      <c r="I13" s="745">
        <v>2111052</v>
      </c>
      <c r="K13" s="3025"/>
      <c r="L13" s="742"/>
      <c r="M13" s="743"/>
      <c r="N13" s="744"/>
      <c r="O13" s="3028"/>
      <c r="P13" s="722">
        <v>4.2</v>
      </c>
      <c r="Q13" s="728" t="s">
        <v>318</v>
      </c>
      <c r="R13" s="729">
        <v>6</v>
      </c>
      <c r="S13" s="730">
        <v>1262477.8</v>
      </c>
      <c r="T13" s="731">
        <v>222790.2</v>
      </c>
      <c r="U13" s="732"/>
      <c r="V13" s="733"/>
      <c r="W13" s="734"/>
      <c r="X13" s="733"/>
      <c r="Y13" s="733"/>
      <c r="Z13" s="733"/>
      <c r="AA13" s="735"/>
      <c r="AB13" s="736"/>
      <c r="AC13" s="730"/>
      <c r="AD13" s="731"/>
      <c r="AE13" s="737"/>
      <c r="AF13" s="738"/>
      <c r="AG13" s="746"/>
      <c r="AH13" s="747">
        <v>2111052</v>
      </c>
      <c r="AI13" s="748"/>
    </row>
    <row r="14" spans="1:35" ht="15" hidden="1" customHeight="1" x14ac:dyDescent="0.2">
      <c r="A14" s="3019"/>
      <c r="B14" s="3023"/>
      <c r="C14" s="722">
        <v>4.3</v>
      </c>
      <c r="D14" s="723" t="s">
        <v>339</v>
      </c>
      <c r="E14" s="723">
        <v>35</v>
      </c>
      <c r="F14" s="724">
        <v>1300925</v>
      </c>
      <c r="G14" s="724">
        <v>229575</v>
      </c>
      <c r="H14" s="723">
        <v>86</v>
      </c>
      <c r="I14" s="724">
        <v>3760000</v>
      </c>
      <c r="K14" s="3025"/>
      <c r="L14" s="742"/>
      <c r="M14" s="743"/>
      <c r="N14" s="744"/>
      <c r="O14" s="3029"/>
      <c r="P14" s="722">
        <v>4.3</v>
      </c>
      <c r="Q14" s="728" t="s">
        <v>339</v>
      </c>
      <c r="R14" s="729">
        <v>35</v>
      </c>
      <c r="S14" s="730">
        <v>1300925</v>
      </c>
      <c r="T14" s="731">
        <v>229575</v>
      </c>
      <c r="U14" s="732"/>
      <c r="V14" s="733"/>
      <c r="W14" s="734"/>
      <c r="X14" s="733"/>
      <c r="Y14" s="733"/>
      <c r="Z14" s="733"/>
      <c r="AA14" s="735"/>
      <c r="AB14" s="736"/>
      <c r="AC14" s="730"/>
      <c r="AD14" s="731"/>
      <c r="AE14" s="737"/>
      <c r="AF14" s="738"/>
      <c r="AG14" s="739"/>
      <c r="AH14" s="740">
        <v>3760000</v>
      </c>
      <c r="AI14" s="731"/>
    </row>
    <row r="15" spans="1:35" ht="15" hidden="1" customHeight="1" x14ac:dyDescent="0.2">
      <c r="A15" s="3019"/>
      <c r="B15" s="3030" t="s">
        <v>26</v>
      </c>
      <c r="C15" s="722">
        <v>5.0999999999999996</v>
      </c>
      <c r="D15" s="749" t="s">
        <v>343</v>
      </c>
      <c r="E15" s="723">
        <v>6</v>
      </c>
      <c r="F15" s="724">
        <v>505036</v>
      </c>
      <c r="G15" s="724">
        <v>89124</v>
      </c>
      <c r="H15" s="723">
        <v>0</v>
      </c>
      <c r="I15" s="724">
        <v>0</v>
      </c>
      <c r="K15" s="3025"/>
      <c r="L15" s="742"/>
      <c r="M15" s="743"/>
      <c r="N15" s="744"/>
      <c r="O15" s="3031" t="s">
        <v>26</v>
      </c>
      <c r="P15" s="722">
        <v>5.0999999999999996</v>
      </c>
      <c r="Q15" s="750" t="s">
        <v>343</v>
      </c>
      <c r="R15" s="729">
        <v>6</v>
      </c>
      <c r="S15" s="730">
        <v>505036</v>
      </c>
      <c r="T15" s="731">
        <v>89124</v>
      </c>
      <c r="U15" s="732"/>
      <c r="V15" s="733"/>
      <c r="W15" s="734"/>
      <c r="X15" s="733"/>
      <c r="Y15" s="733"/>
      <c r="Z15" s="733"/>
      <c r="AA15" s="735"/>
      <c r="AB15" s="736"/>
      <c r="AC15" s="730"/>
      <c r="AD15" s="731"/>
      <c r="AE15" s="737"/>
      <c r="AF15" s="738"/>
      <c r="AG15" s="739"/>
      <c r="AH15" s="740">
        <v>0</v>
      </c>
      <c r="AI15" s="731"/>
    </row>
    <row r="16" spans="1:35" ht="15" hidden="1" customHeight="1" x14ac:dyDescent="0.2">
      <c r="A16" s="3019"/>
      <c r="B16" s="3023"/>
      <c r="C16" s="722">
        <v>5.2</v>
      </c>
      <c r="D16" s="723" t="s">
        <v>344</v>
      </c>
      <c r="E16" s="723">
        <v>12</v>
      </c>
      <c r="F16" s="724">
        <v>409180</v>
      </c>
      <c r="G16" s="724">
        <v>0</v>
      </c>
      <c r="H16" s="723">
        <v>0</v>
      </c>
      <c r="I16" s="724">
        <v>0</v>
      </c>
      <c r="K16" s="3025"/>
      <c r="L16" s="742"/>
      <c r="M16" s="743"/>
      <c r="N16" s="744"/>
      <c r="O16" s="3029"/>
      <c r="P16" s="722">
        <v>5.2</v>
      </c>
      <c r="Q16" s="728" t="s">
        <v>344</v>
      </c>
      <c r="R16" s="729">
        <v>12</v>
      </c>
      <c r="S16" s="730">
        <v>409180</v>
      </c>
      <c r="T16" s="731">
        <v>0</v>
      </c>
      <c r="U16" s="732"/>
      <c r="V16" s="733"/>
      <c r="W16" s="734"/>
      <c r="X16" s="733"/>
      <c r="Y16" s="733"/>
      <c r="Z16" s="733"/>
      <c r="AA16" s="735"/>
      <c r="AB16" s="736"/>
      <c r="AC16" s="730"/>
      <c r="AD16" s="731"/>
      <c r="AE16" s="737"/>
      <c r="AF16" s="738"/>
      <c r="AG16" s="739"/>
      <c r="AH16" s="740">
        <v>0</v>
      </c>
      <c r="AI16" s="731"/>
    </row>
    <row r="17" spans="1:35" ht="15" hidden="1" customHeight="1" x14ac:dyDescent="0.2">
      <c r="A17" s="3019"/>
      <c r="B17" s="3032" t="s">
        <v>9</v>
      </c>
      <c r="C17" s="741">
        <v>6.1</v>
      </c>
      <c r="D17" s="723" t="s">
        <v>353</v>
      </c>
      <c r="E17" s="723">
        <v>1</v>
      </c>
      <c r="F17" s="724">
        <v>94848</v>
      </c>
      <c r="G17" s="724">
        <v>0</v>
      </c>
      <c r="H17" s="723">
        <v>1</v>
      </c>
      <c r="I17" s="724">
        <v>69008</v>
      </c>
      <c r="K17" s="3025"/>
      <c r="L17" s="742"/>
      <c r="M17" s="743"/>
      <c r="N17" s="744"/>
      <c r="O17" s="3034" t="s">
        <v>9</v>
      </c>
      <c r="P17" s="741">
        <v>6.1</v>
      </c>
      <c r="Q17" s="728" t="s">
        <v>353</v>
      </c>
      <c r="R17" s="729">
        <v>1</v>
      </c>
      <c r="S17" s="730">
        <v>94848</v>
      </c>
      <c r="T17" s="731">
        <v>0</v>
      </c>
      <c r="U17" s="732"/>
      <c r="V17" s="733"/>
      <c r="W17" s="734"/>
      <c r="X17" s="733"/>
      <c r="Y17" s="733"/>
      <c r="Z17" s="733"/>
      <c r="AA17" s="735"/>
      <c r="AB17" s="736"/>
      <c r="AC17" s="730"/>
      <c r="AD17" s="731"/>
      <c r="AE17" s="737"/>
      <c r="AF17" s="738"/>
      <c r="AG17" s="739"/>
      <c r="AH17" s="740">
        <v>69008</v>
      </c>
      <c r="AI17" s="731"/>
    </row>
    <row r="18" spans="1:35" ht="15" hidden="1" customHeight="1" x14ac:dyDescent="0.2">
      <c r="A18" s="3019"/>
      <c r="B18" s="3036"/>
      <c r="C18" s="741">
        <v>6.2</v>
      </c>
      <c r="D18" s="751" t="s">
        <v>362</v>
      </c>
      <c r="E18" s="723">
        <v>5</v>
      </c>
      <c r="F18" s="724">
        <v>517194</v>
      </c>
      <c r="G18" s="724">
        <v>0</v>
      </c>
      <c r="H18" s="723">
        <v>0</v>
      </c>
      <c r="I18" s="724">
        <v>0</v>
      </c>
      <c r="K18" s="3025"/>
      <c r="L18" s="742"/>
      <c r="M18" s="743"/>
      <c r="N18" s="744"/>
      <c r="O18" s="3037"/>
      <c r="P18" s="741">
        <v>6.2</v>
      </c>
      <c r="Q18" s="752" t="s">
        <v>362</v>
      </c>
      <c r="R18" s="729">
        <v>5</v>
      </c>
      <c r="S18" s="730">
        <v>517194</v>
      </c>
      <c r="T18" s="731">
        <v>0</v>
      </c>
      <c r="U18" s="732"/>
      <c r="V18" s="733"/>
      <c r="W18" s="734"/>
      <c r="X18" s="733"/>
      <c r="Y18" s="733"/>
      <c r="Z18" s="733"/>
      <c r="AA18" s="735"/>
      <c r="AB18" s="736"/>
      <c r="AC18" s="730"/>
      <c r="AD18" s="731"/>
      <c r="AE18" s="737"/>
      <c r="AF18" s="738"/>
      <c r="AG18" s="739"/>
      <c r="AH18" s="740">
        <v>0</v>
      </c>
      <c r="AI18" s="731"/>
    </row>
    <row r="19" spans="1:35" ht="15" hidden="1" customHeight="1" x14ac:dyDescent="0.2">
      <c r="A19" s="3019"/>
      <c r="B19" s="3036"/>
      <c r="C19" s="741">
        <v>6.3</v>
      </c>
      <c r="D19" s="753" t="s">
        <v>10</v>
      </c>
      <c r="E19" s="723">
        <v>5</v>
      </c>
      <c r="F19" s="724">
        <v>11500</v>
      </c>
      <c r="G19" s="724">
        <v>0</v>
      </c>
      <c r="H19" s="723">
        <v>0</v>
      </c>
      <c r="I19" s="724">
        <v>0</v>
      </c>
      <c r="K19" s="3025"/>
      <c r="L19" s="742"/>
      <c r="M19" s="743"/>
      <c r="N19" s="744"/>
      <c r="O19" s="3037"/>
      <c r="P19" s="741">
        <v>6.3</v>
      </c>
      <c r="Q19" s="754" t="s">
        <v>10</v>
      </c>
      <c r="R19" s="729">
        <v>5</v>
      </c>
      <c r="S19" s="730">
        <v>11500</v>
      </c>
      <c r="T19" s="731">
        <v>0</v>
      </c>
      <c r="U19" s="732"/>
      <c r="V19" s="733"/>
      <c r="W19" s="734"/>
      <c r="X19" s="733"/>
      <c r="Y19" s="733"/>
      <c r="Z19" s="733"/>
      <c r="AA19" s="735"/>
      <c r="AB19" s="736"/>
      <c r="AC19" s="730"/>
      <c r="AD19" s="731"/>
      <c r="AE19" s="737"/>
      <c r="AF19" s="738"/>
      <c r="AG19" s="739"/>
      <c r="AH19" s="740">
        <v>0</v>
      </c>
      <c r="AI19" s="731"/>
    </row>
    <row r="20" spans="1:35" ht="15" hidden="1" customHeight="1" x14ac:dyDescent="0.2">
      <c r="A20" s="3019"/>
      <c r="B20" s="3033"/>
      <c r="C20" s="741">
        <v>6.4</v>
      </c>
      <c r="D20" s="753" t="s">
        <v>11</v>
      </c>
      <c r="E20" s="723">
        <v>1</v>
      </c>
      <c r="F20" s="724">
        <v>72780</v>
      </c>
      <c r="G20" s="724">
        <v>0</v>
      </c>
      <c r="H20" s="723">
        <v>1</v>
      </c>
      <c r="I20" s="724">
        <v>72780</v>
      </c>
      <c r="K20" s="3025"/>
      <c r="L20" s="742"/>
      <c r="M20" s="743"/>
      <c r="N20" s="744"/>
      <c r="O20" s="3035"/>
      <c r="P20" s="741">
        <v>6.4</v>
      </c>
      <c r="Q20" s="754" t="s">
        <v>11</v>
      </c>
      <c r="R20" s="729">
        <v>1</v>
      </c>
      <c r="S20" s="730">
        <v>72780</v>
      </c>
      <c r="T20" s="731">
        <v>0</v>
      </c>
      <c r="U20" s="732"/>
      <c r="V20" s="733"/>
      <c r="W20" s="734"/>
      <c r="X20" s="733"/>
      <c r="Y20" s="733"/>
      <c r="Z20" s="733"/>
      <c r="AA20" s="735"/>
      <c r="AB20" s="736"/>
      <c r="AC20" s="730"/>
      <c r="AD20" s="731"/>
      <c r="AE20" s="737"/>
      <c r="AF20" s="738"/>
      <c r="AG20" s="739"/>
      <c r="AH20" s="740">
        <v>72780</v>
      </c>
      <c r="AI20" s="731"/>
    </row>
    <row r="21" spans="1:35" ht="15" hidden="1" customHeight="1" x14ac:dyDescent="0.2">
      <c r="A21" s="3019"/>
      <c r="B21" s="741" t="s">
        <v>53</v>
      </c>
      <c r="C21" s="741">
        <v>6.5</v>
      </c>
      <c r="D21" s="723" t="s">
        <v>12</v>
      </c>
      <c r="E21" s="723">
        <v>15</v>
      </c>
      <c r="F21" s="724">
        <v>473020.90489510493</v>
      </c>
      <c r="G21" s="724">
        <v>0</v>
      </c>
      <c r="H21" s="723">
        <v>15</v>
      </c>
      <c r="I21" s="724">
        <v>709910.47132867132</v>
      </c>
      <c r="K21" s="3025"/>
      <c r="L21" s="742"/>
      <c r="M21" s="743"/>
      <c r="N21" s="744"/>
      <c r="O21" s="755" t="s">
        <v>53</v>
      </c>
      <c r="P21" s="741">
        <v>6.5</v>
      </c>
      <c r="Q21" s="728" t="s">
        <v>12</v>
      </c>
      <c r="R21" s="729">
        <v>15</v>
      </c>
      <c r="S21" s="730">
        <v>473020.90489510493</v>
      </c>
      <c r="T21" s="731">
        <v>0</v>
      </c>
      <c r="U21" s="732"/>
      <c r="V21" s="733"/>
      <c r="W21" s="734"/>
      <c r="X21" s="733"/>
      <c r="Y21" s="733"/>
      <c r="Z21" s="733"/>
      <c r="AA21" s="735"/>
      <c r="AB21" s="736"/>
      <c r="AC21" s="730"/>
      <c r="AD21" s="731"/>
      <c r="AE21" s="737"/>
      <c r="AF21" s="738"/>
      <c r="AG21" s="739"/>
      <c r="AH21" s="740">
        <v>709910.47132867132</v>
      </c>
      <c r="AI21" s="731"/>
    </row>
    <row r="22" spans="1:35" ht="14.25" hidden="1" customHeight="1" x14ac:dyDescent="0.2">
      <c r="A22" s="3019"/>
      <c r="B22" s="741"/>
      <c r="C22" s="741">
        <v>8</v>
      </c>
      <c r="D22" s="723" t="s">
        <v>82</v>
      </c>
      <c r="E22" s="723"/>
      <c r="F22" s="724">
        <v>501750</v>
      </c>
      <c r="G22" s="724">
        <v>0</v>
      </c>
      <c r="H22" s="723"/>
      <c r="I22" s="724">
        <v>0</v>
      </c>
      <c r="K22" s="3025"/>
      <c r="L22" s="742"/>
      <c r="M22" s="743"/>
      <c r="N22" s="744"/>
      <c r="O22" s="755"/>
      <c r="P22" s="741">
        <v>8</v>
      </c>
      <c r="Q22" s="728" t="s">
        <v>82</v>
      </c>
      <c r="R22" s="729"/>
      <c r="S22" s="730">
        <v>501750</v>
      </c>
      <c r="T22" s="731">
        <v>0</v>
      </c>
      <c r="U22" s="732"/>
      <c r="V22" s="733"/>
      <c r="W22" s="734"/>
      <c r="X22" s="733"/>
      <c r="Y22" s="733"/>
      <c r="Z22" s="733"/>
      <c r="AA22" s="735"/>
      <c r="AB22" s="736"/>
      <c r="AC22" s="730"/>
      <c r="AD22" s="731"/>
      <c r="AE22" s="737"/>
      <c r="AF22" s="738"/>
      <c r="AG22" s="739"/>
      <c r="AH22" s="740">
        <v>0</v>
      </c>
      <c r="AI22" s="731"/>
    </row>
    <row r="23" spans="1:35" s="760" customFormat="1" ht="15.75" hidden="1" customHeight="1" x14ac:dyDescent="0.25">
      <c r="A23" s="3020"/>
      <c r="B23" s="756"/>
      <c r="C23" s="756"/>
      <c r="D23" s="757" t="s">
        <v>32</v>
      </c>
      <c r="E23" s="758"/>
      <c r="F23" s="759">
        <v>13477334.825840499</v>
      </c>
      <c r="G23" s="759">
        <v>598945.19999999995</v>
      </c>
      <c r="H23" s="758"/>
      <c r="I23" s="759">
        <v>9055369.6109090913</v>
      </c>
      <c r="K23" s="3026"/>
      <c r="L23" s="761"/>
      <c r="M23" s="762"/>
      <c r="N23" s="763"/>
      <c r="O23" s="756"/>
      <c r="P23" s="756"/>
      <c r="Q23" s="756" t="s">
        <v>32</v>
      </c>
      <c r="R23" s="764"/>
      <c r="S23" s="765">
        <v>13477334.825840499</v>
      </c>
      <c r="T23" s="766">
        <v>598945.19999999995</v>
      </c>
      <c r="U23" s="767"/>
      <c r="V23" s="768"/>
      <c r="W23" s="769"/>
      <c r="X23" s="768"/>
      <c r="Y23" s="768"/>
      <c r="Z23" s="768"/>
      <c r="AA23" s="770"/>
      <c r="AB23" s="771"/>
      <c r="AC23" s="765"/>
      <c r="AD23" s="766"/>
      <c r="AE23" s="772"/>
      <c r="AF23" s="773"/>
      <c r="AG23" s="774"/>
      <c r="AH23" s="775">
        <v>9055369.6109090913</v>
      </c>
      <c r="AI23" s="766">
        <f>SUM(AI4:AI22)</f>
        <v>0</v>
      </c>
    </row>
    <row r="24" spans="1:35" s="760" customFormat="1" ht="15" customHeight="1" x14ac:dyDescent="0.25">
      <c r="A24" s="703"/>
      <c r="B24" s="776"/>
      <c r="C24" s="776"/>
      <c r="D24" s="777"/>
      <c r="E24" s="778"/>
      <c r="F24" s="779"/>
      <c r="G24" s="779"/>
      <c r="H24" s="778"/>
      <c r="I24" s="779"/>
      <c r="K24" s="3065" t="s">
        <v>21</v>
      </c>
      <c r="L24" s="780"/>
      <c r="M24" s="781"/>
      <c r="N24" s="782"/>
      <c r="O24" s="3068" t="s">
        <v>4</v>
      </c>
      <c r="P24" s="117">
        <v>1.1000000000000001</v>
      </c>
      <c r="Q24" s="783" t="s">
        <v>227</v>
      </c>
      <c r="R24" s="699">
        <v>102</v>
      </c>
      <c r="S24" s="689">
        <v>818318.90061188815</v>
      </c>
      <c r="T24" s="690"/>
      <c r="U24" s="691">
        <v>22</v>
      </c>
      <c r="V24" s="730">
        <f t="shared" ref="V24:V32" si="0">S24/R24*U24</f>
        <v>176500.15503393667</v>
      </c>
      <c r="W24" s="731">
        <f t="shared" ref="W24:W41" si="1">T24/R24*U24</f>
        <v>0</v>
      </c>
      <c r="X24" s="711">
        <f>V24</f>
        <v>176500.15503393667</v>
      </c>
      <c r="Y24" s="711"/>
      <c r="Z24" s="711"/>
      <c r="AA24" s="696">
        <f>138+6</f>
        <v>144</v>
      </c>
      <c r="AB24" s="689">
        <v>1062081.071416084</v>
      </c>
      <c r="AC24" s="689">
        <f>1062081.07141608/138*AA24</f>
        <v>1108258.5093037356</v>
      </c>
      <c r="AD24" s="690"/>
      <c r="AE24" s="784"/>
      <c r="AF24" s="785"/>
      <c r="AG24" s="786"/>
      <c r="AH24" s="699"/>
      <c r="AI24" s="690"/>
    </row>
    <row r="25" spans="1:35" s="760" customFormat="1" ht="15" customHeight="1" x14ac:dyDescent="0.25">
      <c r="A25" s="703"/>
      <c r="B25" s="776"/>
      <c r="C25" s="776"/>
      <c r="D25" s="777"/>
      <c r="E25" s="778"/>
      <c r="F25" s="779"/>
      <c r="G25" s="779"/>
      <c r="H25" s="778"/>
      <c r="I25" s="779"/>
      <c r="K25" s="3066"/>
      <c r="L25" s="787"/>
      <c r="M25" s="788"/>
      <c r="N25" s="789"/>
      <c r="O25" s="3069"/>
      <c r="P25" s="644">
        <v>1.2</v>
      </c>
      <c r="Q25" s="790" t="s">
        <v>241</v>
      </c>
      <c r="R25" s="718">
        <v>13</v>
      </c>
      <c r="S25" s="708">
        <v>2369951.9160839161</v>
      </c>
      <c r="T25" s="709"/>
      <c r="U25" s="710">
        <v>11</v>
      </c>
      <c r="V25" s="730">
        <f t="shared" si="0"/>
        <v>2005343.9289940828</v>
      </c>
      <c r="W25" s="731">
        <f t="shared" si="1"/>
        <v>0</v>
      </c>
      <c r="X25" s="711">
        <f t="shared" ref="X25:X46" si="2">V25</f>
        <v>2005343.9289940828</v>
      </c>
      <c r="Y25" s="711"/>
      <c r="Z25" s="711"/>
      <c r="AA25" s="715">
        <v>15</v>
      </c>
      <c r="AB25" s="708">
        <v>2806816.0570199033</v>
      </c>
      <c r="AC25" s="708">
        <f>2806816.0570199/15*AA25</f>
        <v>2806816.0570199001</v>
      </c>
      <c r="AD25" s="709"/>
      <c r="AE25" s="784"/>
      <c r="AF25" s="785"/>
      <c r="AG25" s="786"/>
      <c r="AH25" s="718"/>
      <c r="AI25" s="709"/>
    </row>
    <row r="26" spans="1:35" s="760" customFormat="1" ht="15" customHeight="1" x14ac:dyDescent="0.25">
      <c r="A26" s="703"/>
      <c r="B26" s="776"/>
      <c r="C26" s="776"/>
      <c r="D26" s="777"/>
      <c r="E26" s="778"/>
      <c r="F26" s="779"/>
      <c r="G26" s="779"/>
      <c r="H26" s="778"/>
      <c r="I26" s="779"/>
      <c r="K26" s="3066"/>
      <c r="L26" s="787"/>
      <c r="M26" s="788"/>
      <c r="N26" s="789"/>
      <c r="O26" s="3039"/>
      <c r="P26" s="644">
        <v>1.3</v>
      </c>
      <c r="Q26" s="790" t="s">
        <v>253</v>
      </c>
      <c r="R26" s="718">
        <v>24</v>
      </c>
      <c r="S26" s="708">
        <v>686692.55944055947</v>
      </c>
      <c r="T26" s="709"/>
      <c r="U26" s="710">
        <v>5</v>
      </c>
      <c r="V26" s="730">
        <f t="shared" si="0"/>
        <v>143060.94988344988</v>
      </c>
      <c r="W26" s="731">
        <f t="shared" si="1"/>
        <v>0</v>
      </c>
      <c r="X26" s="711">
        <f t="shared" si="2"/>
        <v>143060.94988344988</v>
      </c>
      <c r="Y26" s="711"/>
      <c r="Z26" s="711"/>
      <c r="AA26" s="715">
        <v>36</v>
      </c>
      <c r="AB26" s="708">
        <v>945807.53146853147</v>
      </c>
      <c r="AC26" s="708">
        <v>945807.53146853147</v>
      </c>
      <c r="AD26" s="709"/>
      <c r="AE26" s="784"/>
      <c r="AF26" s="785"/>
      <c r="AG26" s="786"/>
      <c r="AH26" s="718"/>
      <c r="AI26" s="709"/>
    </row>
    <row r="27" spans="1:35" s="760" customFormat="1" ht="15" customHeight="1" x14ac:dyDescent="0.25">
      <c r="A27" s="703"/>
      <c r="B27" s="776"/>
      <c r="C27" s="776"/>
      <c r="D27" s="777"/>
      <c r="E27" s="778"/>
      <c r="F27" s="779"/>
      <c r="G27" s="779"/>
      <c r="H27" s="778"/>
      <c r="I27" s="779"/>
      <c r="K27" s="3066"/>
      <c r="L27" s="787"/>
      <c r="M27" s="788"/>
      <c r="N27" s="789"/>
      <c r="O27" s="3038" t="s">
        <v>57</v>
      </c>
      <c r="P27" s="641">
        <v>2.1</v>
      </c>
      <c r="Q27" s="791" t="s">
        <v>260</v>
      </c>
      <c r="R27" s="740">
        <v>40</v>
      </c>
      <c r="S27" s="730">
        <v>416327.34341042821</v>
      </c>
      <c r="T27" s="731"/>
      <c r="U27" s="732">
        <v>31</v>
      </c>
      <c r="V27" s="730">
        <f t="shared" si="0"/>
        <v>322653.69114308187</v>
      </c>
      <c r="W27" s="731">
        <f t="shared" si="1"/>
        <v>0</v>
      </c>
      <c r="X27" s="711">
        <f t="shared" si="2"/>
        <v>322653.69114308187</v>
      </c>
      <c r="Y27" s="733"/>
      <c r="Z27" s="733"/>
      <c r="AA27" s="737">
        <v>40</v>
      </c>
      <c r="AB27" s="730">
        <v>416327.34341042821</v>
      </c>
      <c r="AC27" s="730">
        <v>416327.34341042821</v>
      </c>
      <c r="AD27" s="731"/>
      <c r="AE27" s="784"/>
      <c r="AF27" s="785"/>
      <c r="AG27" s="786"/>
      <c r="AH27" s="740">
        <v>1694800</v>
      </c>
      <c r="AI27" s="731"/>
    </row>
    <row r="28" spans="1:35" s="760" customFormat="1" ht="15" customHeight="1" x14ac:dyDescent="0.25">
      <c r="A28" s="703"/>
      <c r="B28" s="776"/>
      <c r="C28" s="776"/>
      <c r="D28" s="777"/>
      <c r="E28" s="778"/>
      <c r="F28" s="779"/>
      <c r="G28" s="779"/>
      <c r="H28" s="778"/>
      <c r="I28" s="779"/>
      <c r="K28" s="3066"/>
      <c r="L28" s="787"/>
      <c r="M28" s="788"/>
      <c r="N28" s="789"/>
      <c r="O28" s="3069"/>
      <c r="P28" s="641">
        <v>2.2000000000000002</v>
      </c>
      <c r="Q28" s="791" t="s">
        <v>275</v>
      </c>
      <c r="R28" s="740">
        <v>42</v>
      </c>
      <c r="S28" s="730">
        <v>424272.8</v>
      </c>
      <c r="T28" s="731"/>
      <c r="U28" s="732">
        <v>22</v>
      </c>
      <c r="V28" s="730">
        <f t="shared" si="0"/>
        <v>222238.13333333333</v>
      </c>
      <c r="W28" s="731">
        <f t="shared" si="1"/>
        <v>0</v>
      </c>
      <c r="X28" s="711">
        <f t="shared" si="2"/>
        <v>222238.13333333333</v>
      </c>
      <c r="Y28" s="733"/>
      <c r="Z28" s="733"/>
      <c r="AA28" s="737">
        <f>42+10</f>
        <v>52</v>
      </c>
      <c r="AB28" s="730">
        <v>323699.46666666667</v>
      </c>
      <c r="AC28" s="730">
        <f>323699.466666667/42*AA28</f>
        <v>400770.76825396868</v>
      </c>
      <c r="AD28" s="731"/>
      <c r="AE28" s="784"/>
      <c r="AF28" s="785"/>
      <c r="AG28" s="786"/>
      <c r="AH28" s="740"/>
      <c r="AI28" s="731"/>
    </row>
    <row r="29" spans="1:35" s="760" customFormat="1" ht="15" customHeight="1" x14ac:dyDescent="0.25">
      <c r="A29" s="703"/>
      <c r="B29" s="776"/>
      <c r="C29" s="776"/>
      <c r="D29" s="777"/>
      <c r="E29" s="778"/>
      <c r="F29" s="779"/>
      <c r="G29" s="779"/>
      <c r="H29" s="778"/>
      <c r="I29" s="779"/>
      <c r="K29" s="3066"/>
      <c r="L29" s="787"/>
      <c r="M29" s="788"/>
      <c r="N29" s="789"/>
      <c r="O29" s="3039"/>
      <c r="P29" s="641">
        <v>2.2999999999999998</v>
      </c>
      <c r="Q29" s="791" t="s">
        <v>282</v>
      </c>
      <c r="R29" s="740">
        <v>6</v>
      </c>
      <c r="S29" s="730">
        <v>0</v>
      </c>
      <c r="T29" s="731"/>
      <c r="U29" s="732"/>
      <c r="V29" s="730">
        <f t="shared" si="0"/>
        <v>0</v>
      </c>
      <c r="W29" s="731">
        <f t="shared" si="1"/>
        <v>0</v>
      </c>
      <c r="X29" s="711">
        <f t="shared" si="2"/>
        <v>0</v>
      </c>
      <c r="Y29" s="733"/>
      <c r="Z29" s="733"/>
      <c r="AA29" s="737">
        <v>6</v>
      </c>
      <c r="AB29" s="730">
        <v>0</v>
      </c>
      <c r="AC29" s="730">
        <v>0</v>
      </c>
      <c r="AD29" s="731"/>
      <c r="AE29" s="784"/>
      <c r="AF29" s="785"/>
      <c r="AG29" s="786"/>
      <c r="AH29" s="740">
        <v>32940.720000000001</v>
      </c>
      <c r="AI29" s="731"/>
    </row>
    <row r="30" spans="1:35" s="760" customFormat="1" ht="15" customHeight="1" x14ac:dyDescent="0.25">
      <c r="A30" s="703"/>
      <c r="B30" s="776"/>
      <c r="C30" s="776"/>
      <c r="D30" s="777"/>
      <c r="E30" s="778"/>
      <c r="F30" s="779"/>
      <c r="G30" s="779"/>
      <c r="H30" s="778"/>
      <c r="I30" s="779"/>
      <c r="K30" s="3066"/>
      <c r="L30" s="787"/>
      <c r="M30" s="788"/>
      <c r="N30" s="789"/>
      <c r="O30" s="3040" t="s">
        <v>29</v>
      </c>
      <c r="P30" s="642">
        <v>3.1</v>
      </c>
      <c r="Q30" s="791" t="s">
        <v>27</v>
      </c>
      <c r="R30" s="740">
        <v>49</v>
      </c>
      <c r="S30" s="730">
        <v>2928227.0559440563</v>
      </c>
      <c r="T30" s="731"/>
      <c r="U30" s="732">
        <v>44</v>
      </c>
      <c r="V30" s="730">
        <f t="shared" si="0"/>
        <v>2629428.3767660912</v>
      </c>
      <c r="W30" s="731">
        <f t="shared" si="1"/>
        <v>0</v>
      </c>
      <c r="X30" s="711">
        <f t="shared" si="2"/>
        <v>2629428.3767660912</v>
      </c>
      <c r="Y30" s="733"/>
      <c r="Z30" s="733"/>
      <c r="AA30" s="737">
        <f>78+7</f>
        <v>85</v>
      </c>
      <c r="AB30" s="730">
        <v>3451358.1706864564</v>
      </c>
      <c r="AC30" s="730">
        <f>3451358.17068646/78*AA30</f>
        <v>3761095.4424147322</v>
      </c>
      <c r="AD30" s="731"/>
      <c r="AE30" s="784"/>
      <c r="AF30" s="785"/>
      <c r="AG30" s="786"/>
      <c r="AH30" s="740">
        <v>479783.1468531469</v>
      </c>
      <c r="AI30" s="731"/>
    </row>
    <row r="31" spans="1:35" s="760" customFormat="1" ht="15" customHeight="1" x14ac:dyDescent="0.25">
      <c r="A31" s="703"/>
      <c r="B31" s="776"/>
      <c r="C31" s="776"/>
      <c r="D31" s="777"/>
      <c r="E31" s="778"/>
      <c r="F31" s="779"/>
      <c r="G31" s="779"/>
      <c r="H31" s="778"/>
      <c r="I31" s="779"/>
      <c r="K31" s="3066"/>
      <c r="L31" s="787"/>
      <c r="M31" s="788"/>
      <c r="N31" s="789"/>
      <c r="O31" s="3042"/>
      <c r="P31" s="642">
        <v>3.2</v>
      </c>
      <c r="Q31" s="791" t="s">
        <v>294</v>
      </c>
      <c r="R31" s="740">
        <v>5</v>
      </c>
      <c r="S31" s="730">
        <v>359248.54545454547</v>
      </c>
      <c r="T31" s="731"/>
      <c r="U31" s="732"/>
      <c r="V31" s="730">
        <f t="shared" si="0"/>
        <v>0</v>
      </c>
      <c r="W31" s="731">
        <f t="shared" si="1"/>
        <v>0</v>
      </c>
      <c r="X31" s="711">
        <f t="shared" si="2"/>
        <v>0</v>
      </c>
      <c r="Y31" s="733"/>
      <c r="Z31" s="733"/>
      <c r="AA31" s="737">
        <v>0</v>
      </c>
      <c r="AB31" s="730">
        <v>0</v>
      </c>
      <c r="AC31" s="730">
        <v>0</v>
      </c>
      <c r="AD31" s="731"/>
      <c r="AE31" s="784"/>
      <c r="AF31" s="785"/>
      <c r="AG31" s="786"/>
      <c r="AH31" s="740">
        <v>125095.27272727274</v>
      </c>
      <c r="AI31" s="731"/>
    </row>
    <row r="32" spans="1:35" s="760" customFormat="1" ht="15" customHeight="1" x14ac:dyDescent="0.25">
      <c r="A32" s="703"/>
      <c r="B32" s="776"/>
      <c r="C32" s="776"/>
      <c r="D32" s="777"/>
      <c r="E32" s="778"/>
      <c r="F32" s="779"/>
      <c r="G32" s="779"/>
      <c r="H32" s="778"/>
      <c r="I32" s="779"/>
      <c r="K32" s="3066"/>
      <c r="L32" s="787"/>
      <c r="M32" s="788"/>
      <c r="N32" s="789"/>
      <c r="O32" s="3038" t="s">
        <v>6</v>
      </c>
      <c r="P32" s="641">
        <v>4.0999999999999996</v>
      </c>
      <c r="Q32" s="791" t="s">
        <v>315</v>
      </c>
      <c r="R32" s="740">
        <v>70</v>
      </c>
      <c r="S32" s="730">
        <v>325584</v>
      </c>
      <c r="T32" s="731">
        <v>57456</v>
      </c>
      <c r="U32" s="732">
        <v>40</v>
      </c>
      <c r="V32" s="730">
        <f t="shared" si="0"/>
        <v>186048</v>
      </c>
      <c r="W32" s="731">
        <f t="shared" si="1"/>
        <v>32832</v>
      </c>
      <c r="X32" s="711">
        <f t="shared" si="2"/>
        <v>186048</v>
      </c>
      <c r="Y32" s="733"/>
      <c r="Z32" s="733"/>
      <c r="AA32" s="737">
        <v>50</v>
      </c>
      <c r="AB32" s="730">
        <v>109097.5</v>
      </c>
      <c r="AC32" s="730">
        <v>109097.5</v>
      </c>
      <c r="AD32" s="731">
        <v>19252.5</v>
      </c>
      <c r="AE32" s="784"/>
      <c r="AF32" s="785"/>
      <c r="AG32" s="786"/>
      <c r="AH32" s="740"/>
      <c r="AI32" s="731"/>
    </row>
    <row r="33" spans="1:35" s="760" customFormat="1" ht="15" customHeight="1" x14ac:dyDescent="0.25">
      <c r="A33" s="703"/>
      <c r="B33" s="776"/>
      <c r="C33" s="776"/>
      <c r="D33" s="777"/>
      <c r="E33" s="778"/>
      <c r="F33" s="779"/>
      <c r="G33" s="779"/>
      <c r="H33" s="778"/>
      <c r="I33" s="779"/>
      <c r="K33" s="3066"/>
      <c r="L33" s="787"/>
      <c r="M33" s="788"/>
      <c r="N33" s="789"/>
      <c r="O33" s="3069"/>
      <c r="P33" s="641">
        <v>4.2</v>
      </c>
      <c r="Q33" s="791" t="s">
        <v>318</v>
      </c>
      <c r="R33" s="740">
        <v>6</v>
      </c>
      <c r="S33" s="730">
        <v>1262477.8</v>
      </c>
      <c r="T33" s="731">
        <v>222790.2</v>
      </c>
      <c r="U33" s="732">
        <v>6</v>
      </c>
      <c r="V33" s="730">
        <f>S33/R33*U33/12*6</f>
        <v>631238.9</v>
      </c>
      <c r="W33" s="731">
        <f t="shared" si="1"/>
        <v>222790.2</v>
      </c>
      <c r="X33" s="711">
        <f t="shared" si="2"/>
        <v>631238.9</v>
      </c>
      <c r="Y33" s="733"/>
      <c r="Z33" s="733"/>
      <c r="AA33" s="737">
        <v>6</v>
      </c>
      <c r="AB33" s="730">
        <v>1298470.13625</v>
      </c>
      <c r="AC33" s="730">
        <v>1514881.8256250001</v>
      </c>
      <c r="AD33" s="731">
        <v>267332.08687499998</v>
      </c>
      <c r="AE33" s="784"/>
      <c r="AF33" s="785"/>
      <c r="AG33" s="786"/>
      <c r="AH33" s="740">
        <v>2111052</v>
      </c>
      <c r="AI33" s="731"/>
    </row>
    <row r="34" spans="1:35" s="760" customFormat="1" ht="15" customHeight="1" x14ac:dyDescent="0.25">
      <c r="A34" s="703"/>
      <c r="B34" s="776"/>
      <c r="C34" s="776"/>
      <c r="D34" s="777"/>
      <c r="E34" s="778"/>
      <c r="F34" s="779"/>
      <c r="G34" s="779"/>
      <c r="H34" s="778"/>
      <c r="I34" s="779"/>
      <c r="K34" s="3066"/>
      <c r="L34" s="787"/>
      <c r="M34" s="788"/>
      <c r="N34" s="789"/>
      <c r="O34" s="3039"/>
      <c r="P34" s="641">
        <v>4.3</v>
      </c>
      <c r="Q34" s="791" t="s">
        <v>339</v>
      </c>
      <c r="R34" s="740">
        <v>35</v>
      </c>
      <c r="S34" s="730">
        <v>1300925</v>
      </c>
      <c r="T34" s="731">
        <v>229575</v>
      </c>
      <c r="U34" s="732">
        <v>30</v>
      </c>
      <c r="V34" s="730">
        <f>S34/R34*U34/12*10</f>
        <v>929232.14285714307</v>
      </c>
      <c r="W34" s="731">
        <f t="shared" si="1"/>
        <v>196778.57142857145</v>
      </c>
      <c r="X34" s="711">
        <f t="shared" si="2"/>
        <v>929232.14285714307</v>
      </c>
      <c r="Y34" s="733"/>
      <c r="Z34" s="733"/>
      <c r="AA34" s="737">
        <v>35</v>
      </c>
      <c r="AB34" s="730">
        <v>1487300.25</v>
      </c>
      <c r="AC34" s="730">
        <v>1662276.75</v>
      </c>
      <c r="AD34" s="731">
        <v>262464.75</v>
      </c>
      <c r="AE34" s="784"/>
      <c r="AF34" s="785"/>
      <c r="AG34" s="786"/>
      <c r="AH34" s="740">
        <v>3760000</v>
      </c>
      <c r="AI34" s="731"/>
    </row>
    <row r="35" spans="1:35" s="760" customFormat="1" ht="15" customHeight="1" x14ac:dyDescent="0.25">
      <c r="A35" s="703"/>
      <c r="B35" s="776"/>
      <c r="C35" s="776"/>
      <c r="D35" s="777"/>
      <c r="E35" s="778"/>
      <c r="F35" s="779"/>
      <c r="G35" s="779"/>
      <c r="H35" s="778"/>
      <c r="I35" s="779"/>
      <c r="K35" s="3066"/>
      <c r="L35" s="787"/>
      <c r="M35" s="788"/>
      <c r="N35" s="789"/>
      <c r="O35" s="3038" t="s">
        <v>26</v>
      </c>
      <c r="P35" s="641">
        <v>5.0999999999999996</v>
      </c>
      <c r="Q35" s="792" t="s">
        <v>343</v>
      </c>
      <c r="R35" s="740">
        <v>6</v>
      </c>
      <c r="S35" s="730">
        <v>505036</v>
      </c>
      <c r="T35" s="731">
        <v>89124</v>
      </c>
      <c r="U35" s="732">
        <v>2</v>
      </c>
      <c r="V35" s="793">
        <f>S35/R35*U35/12*6</f>
        <v>84172.666666666672</v>
      </c>
      <c r="W35" s="731">
        <f t="shared" si="1"/>
        <v>29708</v>
      </c>
      <c r="X35" s="711">
        <f t="shared" si="2"/>
        <v>84172.666666666672</v>
      </c>
      <c r="Y35" s="733"/>
      <c r="Z35" s="733"/>
      <c r="AA35" s="737">
        <v>3</v>
      </c>
      <c r="AB35" s="730">
        <v>495943.62222222227</v>
      </c>
      <c r="AC35" s="730">
        <v>743915.43333333335</v>
      </c>
      <c r="AD35" s="731">
        <f>AC35/0.85*0.15</f>
        <v>131279.19411764707</v>
      </c>
      <c r="AE35" s="784"/>
      <c r="AF35" s="785"/>
      <c r="AG35" s="786"/>
      <c r="AH35" s="740"/>
      <c r="AI35" s="731"/>
    </row>
    <row r="36" spans="1:35" s="760" customFormat="1" ht="15" customHeight="1" x14ac:dyDescent="0.25">
      <c r="A36" s="703"/>
      <c r="B36" s="776"/>
      <c r="C36" s="776"/>
      <c r="D36" s="777"/>
      <c r="E36" s="778"/>
      <c r="F36" s="779"/>
      <c r="G36" s="779"/>
      <c r="H36" s="778"/>
      <c r="I36" s="779"/>
      <c r="K36" s="3066"/>
      <c r="L36" s="787"/>
      <c r="M36" s="788"/>
      <c r="N36" s="789"/>
      <c r="O36" s="3039"/>
      <c r="P36" s="641">
        <v>5.2</v>
      </c>
      <c r="Q36" s="791" t="s">
        <v>344</v>
      </c>
      <c r="R36" s="740">
        <v>12</v>
      </c>
      <c r="S36" s="730">
        <v>409180</v>
      </c>
      <c r="T36" s="731"/>
      <c r="U36" s="732">
        <v>10</v>
      </c>
      <c r="V36" s="730">
        <f t="shared" ref="V36:V41" si="3">S36/R36*U36</f>
        <v>340983.33333333337</v>
      </c>
      <c r="W36" s="731">
        <f t="shared" si="1"/>
        <v>0</v>
      </c>
      <c r="X36" s="711">
        <f t="shared" si="2"/>
        <v>340983.33333333337</v>
      </c>
      <c r="Y36" s="733"/>
      <c r="Z36" s="733"/>
      <c r="AA36" s="737">
        <v>13</v>
      </c>
      <c r="AB36" s="730">
        <v>499876</v>
      </c>
      <c r="AC36" s="730">
        <v>499876</v>
      </c>
      <c r="AD36" s="731">
        <f>AC36/0.85*0.15</f>
        <v>88213.411764705888</v>
      </c>
      <c r="AE36" s="784"/>
      <c r="AF36" s="785"/>
      <c r="AG36" s="786"/>
      <c r="AH36" s="740"/>
      <c r="AI36" s="731"/>
    </row>
    <row r="37" spans="1:35" s="760" customFormat="1" ht="29.25" x14ac:dyDescent="0.25">
      <c r="A37" s="703"/>
      <c r="B37" s="776"/>
      <c r="C37" s="776"/>
      <c r="D37" s="777"/>
      <c r="E37" s="778"/>
      <c r="F37" s="779"/>
      <c r="G37" s="779"/>
      <c r="H37" s="778"/>
      <c r="I37" s="779"/>
      <c r="K37" s="3066"/>
      <c r="L37" s="787"/>
      <c r="M37" s="788"/>
      <c r="N37" s="789"/>
      <c r="O37" s="3040" t="s">
        <v>9</v>
      </c>
      <c r="P37" s="642">
        <v>6.1</v>
      </c>
      <c r="Q37" s="791" t="s">
        <v>353</v>
      </c>
      <c r="R37" s="740">
        <v>1</v>
      </c>
      <c r="S37" s="730">
        <v>94848</v>
      </c>
      <c r="T37" s="731"/>
      <c r="U37" s="732">
        <v>1</v>
      </c>
      <c r="V37" s="730">
        <f t="shared" si="3"/>
        <v>94848</v>
      </c>
      <c r="W37" s="731">
        <f t="shared" si="1"/>
        <v>0</v>
      </c>
      <c r="X37" s="711">
        <f t="shared" si="2"/>
        <v>94848</v>
      </c>
      <c r="Y37" s="733"/>
      <c r="Z37" s="733"/>
      <c r="AA37" s="737">
        <v>1</v>
      </c>
      <c r="AB37" s="730">
        <v>94848</v>
      </c>
      <c r="AC37" s="730">
        <v>94848</v>
      </c>
      <c r="AD37" s="731"/>
      <c r="AE37" s="784"/>
      <c r="AF37" s="785"/>
      <c r="AG37" s="786"/>
      <c r="AH37" s="740">
        <v>69008</v>
      </c>
      <c r="AI37" s="731"/>
    </row>
    <row r="38" spans="1:35" s="760" customFormat="1" ht="15" customHeight="1" x14ac:dyDescent="0.25">
      <c r="A38" s="703"/>
      <c r="B38" s="776"/>
      <c r="C38" s="776"/>
      <c r="D38" s="777"/>
      <c r="E38" s="778"/>
      <c r="F38" s="779"/>
      <c r="G38" s="779"/>
      <c r="H38" s="778"/>
      <c r="I38" s="779"/>
      <c r="K38" s="3066"/>
      <c r="L38" s="787"/>
      <c r="M38" s="788"/>
      <c r="N38" s="789"/>
      <c r="O38" s="3041"/>
      <c r="P38" s="642">
        <v>6.2</v>
      </c>
      <c r="Q38" s="794" t="s">
        <v>362</v>
      </c>
      <c r="R38" s="740">
        <v>6</v>
      </c>
      <c r="S38" s="730">
        <v>517194</v>
      </c>
      <c r="T38" s="731"/>
      <c r="U38" s="732">
        <v>2</v>
      </c>
      <c r="V38" s="730">
        <f t="shared" si="3"/>
        <v>172398</v>
      </c>
      <c r="W38" s="731">
        <f t="shared" si="1"/>
        <v>0</v>
      </c>
      <c r="X38" s="711">
        <f t="shared" si="2"/>
        <v>172398</v>
      </c>
      <c r="Y38" s="733"/>
      <c r="Z38" s="733"/>
      <c r="AA38" s="737">
        <v>6</v>
      </c>
      <c r="AB38" s="730">
        <v>543450</v>
      </c>
      <c r="AC38" s="730">
        <v>543450</v>
      </c>
      <c r="AD38" s="731"/>
      <c r="AE38" s="784"/>
      <c r="AF38" s="785"/>
      <c r="AG38" s="786"/>
      <c r="AH38" s="740"/>
      <c r="AI38" s="731"/>
    </row>
    <row r="39" spans="1:35" s="760" customFormat="1" ht="15" customHeight="1" x14ac:dyDescent="0.25">
      <c r="A39" s="703"/>
      <c r="B39" s="776"/>
      <c r="C39" s="776"/>
      <c r="D39" s="777"/>
      <c r="E39" s="778"/>
      <c r="F39" s="779"/>
      <c r="G39" s="779"/>
      <c r="H39" s="778"/>
      <c r="I39" s="779"/>
      <c r="K39" s="3066"/>
      <c r="L39" s="787"/>
      <c r="M39" s="788"/>
      <c r="N39" s="789"/>
      <c r="O39" s="3041"/>
      <c r="P39" s="642">
        <v>6.3</v>
      </c>
      <c r="Q39" s="794" t="s">
        <v>10</v>
      </c>
      <c r="R39" s="740">
        <v>5</v>
      </c>
      <c r="S39" s="730">
        <v>11500</v>
      </c>
      <c r="T39" s="731"/>
      <c r="U39" s="732">
        <v>5</v>
      </c>
      <c r="V39" s="730">
        <f t="shared" si="3"/>
        <v>11500</v>
      </c>
      <c r="W39" s="731">
        <f t="shared" si="1"/>
        <v>0</v>
      </c>
      <c r="X39" s="711">
        <f t="shared" si="2"/>
        <v>11500</v>
      </c>
      <c r="Y39" s="733"/>
      <c r="Z39" s="733"/>
      <c r="AA39" s="737">
        <v>5</v>
      </c>
      <c r="AB39" s="730">
        <v>16100</v>
      </c>
      <c r="AC39" s="730">
        <v>16100</v>
      </c>
      <c r="AD39" s="731"/>
      <c r="AE39" s="784"/>
      <c r="AF39" s="785"/>
      <c r="AG39" s="786"/>
      <c r="AH39" s="740"/>
      <c r="AI39" s="731"/>
    </row>
    <row r="40" spans="1:35" s="760" customFormat="1" ht="15" customHeight="1" x14ac:dyDescent="0.25">
      <c r="A40" s="703"/>
      <c r="B40" s="776"/>
      <c r="C40" s="776"/>
      <c r="D40" s="777"/>
      <c r="E40" s="778"/>
      <c r="F40" s="779"/>
      <c r="G40" s="779"/>
      <c r="H40" s="778"/>
      <c r="I40" s="779"/>
      <c r="K40" s="3066"/>
      <c r="L40" s="787"/>
      <c r="M40" s="788"/>
      <c r="N40" s="789"/>
      <c r="O40" s="3042"/>
      <c r="P40" s="642">
        <v>6.4</v>
      </c>
      <c r="Q40" s="794" t="s">
        <v>11</v>
      </c>
      <c r="R40" s="740">
        <v>1</v>
      </c>
      <c r="S40" s="730">
        <v>72780</v>
      </c>
      <c r="T40" s="731"/>
      <c r="U40" s="732">
        <v>1</v>
      </c>
      <c r="V40" s="730">
        <f t="shared" si="3"/>
        <v>72780</v>
      </c>
      <c r="W40" s="731">
        <f t="shared" si="1"/>
        <v>0</v>
      </c>
      <c r="X40" s="711">
        <f t="shared" si="2"/>
        <v>72780</v>
      </c>
      <c r="Y40" s="733"/>
      <c r="Z40" s="733"/>
      <c r="AA40" s="737">
        <v>7</v>
      </c>
      <c r="AB40" s="730">
        <v>72780</v>
      </c>
      <c r="AC40" s="730">
        <v>72780</v>
      </c>
      <c r="AD40" s="731"/>
      <c r="AE40" s="784"/>
      <c r="AF40" s="785"/>
      <c r="AG40" s="786"/>
      <c r="AH40" s="740">
        <v>72780</v>
      </c>
      <c r="AI40" s="731"/>
    </row>
    <row r="41" spans="1:35" s="760" customFormat="1" ht="15" customHeight="1" x14ac:dyDescent="0.25">
      <c r="A41" s="703"/>
      <c r="B41" s="776"/>
      <c r="C41" s="776"/>
      <c r="D41" s="777"/>
      <c r="E41" s="778"/>
      <c r="F41" s="779"/>
      <c r="G41" s="779"/>
      <c r="H41" s="778"/>
      <c r="I41" s="779"/>
      <c r="K41" s="3066"/>
      <c r="L41" s="787"/>
      <c r="M41" s="788"/>
      <c r="N41" s="789"/>
      <c r="O41" s="795" t="s">
        <v>53</v>
      </c>
      <c r="P41" s="642">
        <v>6.5</v>
      </c>
      <c r="Q41" s="791" t="s">
        <v>12</v>
      </c>
      <c r="R41" s="740">
        <v>15</v>
      </c>
      <c r="S41" s="730">
        <v>473020.90489510493</v>
      </c>
      <c r="T41" s="731"/>
      <c r="U41" s="732">
        <v>13</v>
      </c>
      <c r="V41" s="730">
        <f t="shared" si="3"/>
        <v>409951.45090909093</v>
      </c>
      <c r="W41" s="731">
        <f t="shared" si="1"/>
        <v>0</v>
      </c>
      <c r="X41" s="711">
        <f t="shared" si="2"/>
        <v>409951.45090909093</v>
      </c>
      <c r="Y41" s="733"/>
      <c r="Z41" s="733"/>
      <c r="AA41" s="737">
        <f>15+11</f>
        <v>26</v>
      </c>
      <c r="AB41" s="730">
        <v>374380.90489510493</v>
      </c>
      <c r="AC41" s="730">
        <f>374380.904895105/15*AA41</f>
        <v>648926.90181818197</v>
      </c>
      <c r="AD41" s="731"/>
      <c r="AE41" s="784"/>
      <c r="AF41" s="785"/>
      <c r="AG41" s="786"/>
      <c r="AH41" s="740">
        <v>709910.47132867132</v>
      </c>
      <c r="AI41" s="731"/>
    </row>
    <row r="42" spans="1:35" s="760" customFormat="1" ht="15" customHeight="1" x14ac:dyDescent="0.25">
      <c r="A42" s="703"/>
      <c r="B42" s="776"/>
      <c r="C42" s="776"/>
      <c r="D42" s="777"/>
      <c r="E42" s="778"/>
      <c r="F42" s="779"/>
      <c r="G42" s="779"/>
      <c r="H42" s="778"/>
      <c r="I42" s="779"/>
      <c r="K42" s="3066"/>
      <c r="L42" s="787"/>
      <c r="M42" s="788"/>
      <c r="N42" s="789"/>
      <c r="O42" s="795"/>
      <c r="P42" s="642">
        <v>8</v>
      </c>
      <c r="Q42" s="791" t="s">
        <v>82</v>
      </c>
      <c r="R42" s="740"/>
      <c r="S42" s="730">
        <v>501750</v>
      </c>
      <c r="T42" s="731"/>
      <c r="U42" s="732"/>
      <c r="V42" s="730">
        <f>S42</f>
        <v>501750</v>
      </c>
      <c r="W42" s="731"/>
      <c r="X42" s="711">
        <f t="shared" si="2"/>
        <v>501750</v>
      </c>
      <c r="Y42" s="733"/>
      <c r="Z42" s="733"/>
      <c r="AA42" s="737"/>
      <c r="AB42" s="730">
        <v>1002500</v>
      </c>
      <c r="AC42" s="730">
        <v>1002500</v>
      </c>
      <c r="AD42" s="731"/>
      <c r="AE42" s="784"/>
      <c r="AF42" s="785"/>
      <c r="AG42" s="786"/>
      <c r="AH42" s="740"/>
      <c r="AI42" s="731"/>
    </row>
    <row r="43" spans="1:35" s="760" customFormat="1" ht="15" customHeight="1" x14ac:dyDescent="0.25">
      <c r="A43" s="703"/>
      <c r="B43" s="776"/>
      <c r="C43" s="776"/>
      <c r="D43" s="777"/>
      <c r="E43" s="778"/>
      <c r="F43" s="779"/>
      <c r="G43" s="779"/>
      <c r="H43" s="778"/>
      <c r="I43" s="779"/>
      <c r="K43" s="3066"/>
      <c r="L43" s="787"/>
      <c r="M43" s="788"/>
      <c r="N43" s="789"/>
      <c r="O43" s="795"/>
      <c r="P43" s="631">
        <v>9</v>
      </c>
      <c r="Q43" s="796" t="s">
        <v>717</v>
      </c>
      <c r="R43" s="740"/>
      <c r="S43" s="730"/>
      <c r="T43" s="731"/>
      <c r="U43" s="797">
        <v>15</v>
      </c>
      <c r="V43" s="730"/>
      <c r="W43" s="731"/>
      <c r="X43" s="711">
        <f t="shared" si="2"/>
        <v>0</v>
      </c>
      <c r="Y43" s="1495"/>
      <c r="Z43" s="1495"/>
      <c r="AA43" s="798">
        <v>75</v>
      </c>
      <c r="AB43" s="799">
        <v>150000</v>
      </c>
      <c r="AC43" s="799">
        <v>150000</v>
      </c>
      <c r="AD43" s="800"/>
      <c r="AE43" s="784"/>
      <c r="AF43" s="785"/>
      <c r="AG43" s="786"/>
      <c r="AH43" s="801"/>
      <c r="AI43" s="800"/>
    </row>
    <row r="44" spans="1:35" s="760" customFormat="1" ht="15" customHeight="1" x14ac:dyDescent="0.25">
      <c r="A44" s="703"/>
      <c r="B44" s="776"/>
      <c r="C44" s="776"/>
      <c r="D44" s="777"/>
      <c r="E44" s="778"/>
      <c r="F44" s="779"/>
      <c r="G44" s="779"/>
      <c r="H44" s="778"/>
      <c r="I44" s="779"/>
      <c r="K44" s="3066"/>
      <c r="L44" s="787"/>
      <c r="M44" s="788"/>
      <c r="N44" s="789"/>
      <c r="O44" s="795"/>
      <c r="P44" s="642">
        <v>10</v>
      </c>
      <c r="Q44" s="796" t="s">
        <v>666</v>
      </c>
      <c r="R44" s="740"/>
      <c r="S44" s="730"/>
      <c r="T44" s="731"/>
      <c r="U44" s="797"/>
      <c r="V44" s="730"/>
      <c r="W44" s="731"/>
      <c r="X44" s="711">
        <f t="shared" si="2"/>
        <v>0</v>
      </c>
      <c r="Y44" s="1495"/>
      <c r="Z44" s="1495"/>
      <c r="AA44" s="798">
        <v>1</v>
      </c>
      <c r="AB44" s="799">
        <v>122830</v>
      </c>
      <c r="AC44" s="799">
        <v>122830</v>
      </c>
      <c r="AD44" s="800"/>
      <c r="AE44" s="784"/>
      <c r="AF44" s="785"/>
      <c r="AG44" s="786"/>
      <c r="AH44" s="801"/>
      <c r="AI44" s="800"/>
    </row>
    <row r="45" spans="1:35" s="760" customFormat="1" ht="15" customHeight="1" x14ac:dyDescent="0.25">
      <c r="A45" s="703"/>
      <c r="B45" s="776"/>
      <c r="C45" s="776"/>
      <c r="D45" s="777"/>
      <c r="E45" s="778"/>
      <c r="F45" s="779"/>
      <c r="G45" s="779"/>
      <c r="H45" s="778"/>
      <c r="I45" s="779"/>
      <c r="K45" s="3066"/>
      <c r="L45" s="787"/>
      <c r="M45" s="788"/>
      <c r="N45" s="789"/>
      <c r="O45" s="795"/>
      <c r="P45" s="631">
        <v>11</v>
      </c>
      <c r="Q45" s="796" t="s">
        <v>667</v>
      </c>
      <c r="R45" s="740"/>
      <c r="S45" s="730"/>
      <c r="T45" s="731"/>
      <c r="U45" s="797"/>
      <c r="V45" s="730"/>
      <c r="W45" s="731"/>
      <c r="X45" s="711">
        <f t="shared" si="2"/>
        <v>0</v>
      </c>
      <c r="Y45" s="1495"/>
      <c r="Z45" s="1495"/>
      <c r="AA45" s="798">
        <v>4</v>
      </c>
      <c r="AB45" s="799">
        <v>152500</v>
      </c>
      <c r="AC45" s="799">
        <v>152500</v>
      </c>
      <c r="AD45" s="800"/>
      <c r="AE45" s="784"/>
      <c r="AF45" s="785"/>
      <c r="AG45" s="786"/>
      <c r="AH45" s="801"/>
      <c r="AI45" s="800"/>
    </row>
    <row r="46" spans="1:35" s="760" customFormat="1" ht="15" customHeight="1" x14ac:dyDescent="0.25">
      <c r="A46" s="703"/>
      <c r="B46" s="776"/>
      <c r="C46" s="776"/>
      <c r="D46" s="777"/>
      <c r="E46" s="778"/>
      <c r="F46" s="779"/>
      <c r="G46" s="779"/>
      <c r="H46" s="778"/>
      <c r="I46" s="779"/>
      <c r="K46" s="3067"/>
      <c r="L46" s="802"/>
      <c r="M46" s="803"/>
      <c r="N46" s="804"/>
      <c r="O46" s="795"/>
      <c r="P46" s="642">
        <v>12</v>
      </c>
      <c r="Q46" s="796" t="s">
        <v>718</v>
      </c>
      <c r="R46" s="740"/>
      <c r="S46" s="730"/>
      <c r="T46" s="731"/>
      <c r="U46" s="797"/>
      <c r="V46" s="730"/>
      <c r="W46" s="731"/>
      <c r="X46" s="711">
        <f t="shared" si="2"/>
        <v>0</v>
      </c>
      <c r="Y46" s="1495"/>
      <c r="Z46" s="1495"/>
      <c r="AA46" s="798">
        <v>2</v>
      </c>
      <c r="AB46" s="799">
        <v>407258</v>
      </c>
      <c r="AC46" s="799">
        <v>407258</v>
      </c>
      <c r="AD46" s="800"/>
      <c r="AE46" s="784"/>
      <c r="AF46" s="785"/>
      <c r="AG46" s="786"/>
      <c r="AH46" s="801"/>
      <c r="AI46" s="800"/>
    </row>
    <row r="47" spans="1:35" s="760" customFormat="1" ht="15.75" thickBot="1" x14ac:dyDescent="0.3">
      <c r="A47" s="703"/>
      <c r="B47" s="776"/>
      <c r="C47" s="776"/>
      <c r="D47" s="777"/>
      <c r="E47" s="778"/>
      <c r="F47" s="779"/>
      <c r="G47" s="779"/>
      <c r="H47" s="778"/>
      <c r="I47" s="779"/>
      <c r="K47" s="149" t="s">
        <v>32</v>
      </c>
      <c r="L47" s="805"/>
      <c r="M47" s="150"/>
      <c r="N47" s="806"/>
      <c r="O47" s="150"/>
      <c r="P47" s="150"/>
      <c r="Q47" s="807" t="s">
        <v>32</v>
      </c>
      <c r="R47" s="775"/>
      <c r="S47" s="765">
        <f t="shared" ref="S47:X47" si="4">SUM(S24:S46)</f>
        <v>13477334.825840499</v>
      </c>
      <c r="T47" s="766">
        <f t="shared" si="4"/>
        <v>598945.19999999995</v>
      </c>
      <c r="U47" s="808">
        <f t="shared" si="4"/>
        <v>260</v>
      </c>
      <c r="V47" s="809">
        <f t="shared" si="4"/>
        <v>8934127.7289202102</v>
      </c>
      <c r="W47" s="809">
        <f t="shared" si="4"/>
        <v>482108.77142857143</v>
      </c>
      <c r="X47" s="809">
        <f t="shared" si="4"/>
        <v>8934127.7289202102</v>
      </c>
      <c r="Y47" s="768"/>
      <c r="Z47" s="768"/>
      <c r="AA47" s="772"/>
      <c r="AB47" s="765">
        <f t="shared" ref="AB47:AH47" si="5">SUM(AB24:AB46)</f>
        <v>15833424.054035397</v>
      </c>
      <c r="AC47" s="765">
        <f t="shared" si="5"/>
        <v>17180316.062647812</v>
      </c>
      <c r="AD47" s="766">
        <f t="shared" si="5"/>
        <v>768541.94275735307</v>
      </c>
      <c r="AE47" s="772">
        <f t="shared" si="5"/>
        <v>0</v>
      </c>
      <c r="AF47" s="765">
        <f t="shared" si="5"/>
        <v>0</v>
      </c>
      <c r="AG47" s="774">
        <f t="shared" si="5"/>
        <v>0</v>
      </c>
      <c r="AH47" s="775">
        <f t="shared" si="5"/>
        <v>9055369.6109090913</v>
      </c>
      <c r="AI47" s="766"/>
    </row>
    <row r="48" spans="1:35" ht="15" customHeight="1" thickBot="1" x14ac:dyDescent="0.25">
      <c r="A48" s="3043" t="s">
        <v>14</v>
      </c>
      <c r="B48" s="3046" t="s">
        <v>4</v>
      </c>
      <c r="C48" s="810">
        <v>1</v>
      </c>
      <c r="D48" s="811" t="s">
        <v>86</v>
      </c>
      <c r="E48" s="811">
        <v>2</v>
      </c>
      <c r="F48" s="812">
        <v>456000</v>
      </c>
      <c r="G48" s="812">
        <v>0</v>
      </c>
      <c r="H48" s="811">
        <v>0</v>
      </c>
      <c r="I48" s="812">
        <v>0</v>
      </c>
      <c r="K48" s="3049" t="s">
        <v>14</v>
      </c>
      <c r="L48" s="813"/>
      <c r="M48" s="814"/>
      <c r="N48" s="815"/>
      <c r="O48" s="3052" t="s">
        <v>4</v>
      </c>
      <c r="P48" s="810">
        <v>1</v>
      </c>
      <c r="Q48" s="816" t="s">
        <v>534</v>
      </c>
      <c r="R48" s="817">
        <v>2</v>
      </c>
      <c r="S48" s="818">
        <v>456000</v>
      </c>
      <c r="T48" s="819">
        <v>0</v>
      </c>
      <c r="U48" s="820">
        <v>2</v>
      </c>
      <c r="V48" s="821">
        <f>S48/R48*U48</f>
        <v>456000</v>
      </c>
      <c r="W48" s="822">
        <f>T48/R48*U48</f>
        <v>0</v>
      </c>
      <c r="X48" s="1496">
        <f>V48</f>
        <v>456000</v>
      </c>
      <c r="Y48" s="1496"/>
      <c r="Z48" s="1496"/>
      <c r="AA48" s="823">
        <v>9</v>
      </c>
      <c r="AB48" s="824">
        <v>0</v>
      </c>
      <c r="AC48" s="825">
        <v>1670024</v>
      </c>
      <c r="AD48" s="826">
        <v>0</v>
      </c>
      <c r="AE48" s="827">
        <v>0</v>
      </c>
      <c r="AF48" s="828">
        <v>0</v>
      </c>
      <c r="AG48" s="829">
        <v>0</v>
      </c>
      <c r="AH48" s="830">
        <v>0</v>
      </c>
      <c r="AI48" s="819"/>
    </row>
    <row r="49" spans="1:35" ht="14.25" customHeight="1" x14ac:dyDescent="0.2">
      <c r="A49" s="3044"/>
      <c r="B49" s="3047"/>
      <c r="C49" s="831"/>
      <c r="D49" s="832"/>
      <c r="E49" s="832"/>
      <c r="F49" s="833"/>
      <c r="G49" s="833"/>
      <c r="H49" s="832"/>
      <c r="I49" s="833"/>
      <c r="K49" s="3050"/>
      <c r="L49" s="834"/>
      <c r="M49" s="835"/>
      <c r="N49" s="836"/>
      <c r="O49" s="3053"/>
      <c r="P49" s="831">
        <v>1</v>
      </c>
      <c r="Q49" s="837" t="s">
        <v>719</v>
      </c>
      <c r="R49" s="838">
        <v>1</v>
      </c>
      <c r="S49" s="839">
        <v>228000</v>
      </c>
      <c r="T49" s="840"/>
      <c r="U49" s="841">
        <v>1</v>
      </c>
      <c r="V49" s="821">
        <f>S49/R49*U49</f>
        <v>228000</v>
      </c>
      <c r="W49" s="822">
        <f>T49/R49*U49</f>
        <v>0</v>
      </c>
      <c r="X49" s="1496"/>
      <c r="Y49" s="1496">
        <f>V49</f>
        <v>228000</v>
      </c>
      <c r="Z49" s="1496"/>
      <c r="AA49" s="842">
        <v>2</v>
      </c>
      <c r="AB49" s="843"/>
      <c r="AC49" s="844">
        <v>456000</v>
      </c>
      <c r="AD49" s="845"/>
      <c r="AE49" s="846"/>
      <c r="AF49" s="847"/>
      <c r="AG49" s="848"/>
      <c r="AH49" s="849"/>
      <c r="AI49" s="840"/>
    </row>
    <row r="50" spans="1:35" ht="14.25" customHeight="1" x14ac:dyDescent="0.2">
      <c r="A50" s="3044"/>
      <c r="B50" s="3048"/>
      <c r="C50" s="850">
        <v>2</v>
      </c>
      <c r="D50" s="851" t="s">
        <v>98</v>
      </c>
      <c r="E50" s="851">
        <v>1</v>
      </c>
      <c r="F50" s="852">
        <v>147480</v>
      </c>
      <c r="G50" s="852">
        <v>0</v>
      </c>
      <c r="H50" s="851">
        <v>0</v>
      </c>
      <c r="I50" s="852">
        <v>0</v>
      </c>
      <c r="K50" s="3050"/>
      <c r="L50" s="853"/>
      <c r="M50" s="854"/>
      <c r="N50" s="855"/>
      <c r="O50" s="3054"/>
      <c r="P50" s="850">
        <v>2</v>
      </c>
      <c r="Q50" s="856" t="s">
        <v>720</v>
      </c>
      <c r="R50" s="45">
        <v>1</v>
      </c>
      <c r="S50" s="839">
        <v>147480</v>
      </c>
      <c r="T50" s="857">
        <v>0</v>
      </c>
      <c r="U50" s="858">
        <v>1</v>
      </c>
      <c r="V50" s="821">
        <f>S50/R50*U50</f>
        <v>147480</v>
      </c>
      <c r="W50" s="822">
        <f>T50/R50*U50</f>
        <v>0</v>
      </c>
      <c r="X50" s="1497">
        <f>V50</f>
        <v>147480</v>
      </c>
      <c r="Y50" s="1497"/>
      <c r="Z50" s="1497"/>
      <c r="AA50" s="859">
        <v>2</v>
      </c>
      <c r="AB50" s="860">
        <v>0</v>
      </c>
      <c r="AC50" s="839">
        <v>412040</v>
      </c>
      <c r="AD50" s="857">
        <v>0</v>
      </c>
      <c r="AE50" s="861">
        <v>0</v>
      </c>
      <c r="AF50" s="862">
        <v>0</v>
      </c>
      <c r="AG50" s="863">
        <v>0</v>
      </c>
      <c r="AH50" s="864">
        <v>0</v>
      </c>
      <c r="AI50" s="822"/>
    </row>
    <row r="51" spans="1:35" customFormat="1" ht="14.25" customHeight="1" x14ac:dyDescent="0.2">
      <c r="A51" s="3044"/>
      <c r="B51" s="38"/>
      <c r="C51" s="13">
        <v>4</v>
      </c>
      <c r="D51" s="643" t="s">
        <v>58</v>
      </c>
      <c r="E51" s="643">
        <v>3</v>
      </c>
      <c r="F51" s="14" t="s">
        <v>56</v>
      </c>
      <c r="G51" s="14">
        <v>125</v>
      </c>
      <c r="H51" s="50">
        <v>2444590</v>
      </c>
      <c r="I51" s="49">
        <v>75</v>
      </c>
      <c r="J51" s="645">
        <f>SUM(H51:H51)</f>
        <v>2444590</v>
      </c>
      <c r="K51" s="3050"/>
      <c r="L51" s="853"/>
      <c r="M51" s="854"/>
      <c r="N51" s="855"/>
      <c r="O51" s="865"/>
      <c r="P51" s="850">
        <v>3</v>
      </c>
      <c r="Q51" s="866" t="s">
        <v>56</v>
      </c>
      <c r="R51" s="45">
        <v>125</v>
      </c>
      <c r="S51" s="867">
        <v>2444590</v>
      </c>
      <c r="T51" s="868">
        <v>58824</v>
      </c>
      <c r="U51" s="869">
        <v>101</v>
      </c>
      <c r="V51" s="821">
        <f>S51/R51*U51</f>
        <v>1975228.7200000002</v>
      </c>
      <c r="W51" s="822">
        <f>T51/R51*U51</f>
        <v>47529.792000000001</v>
      </c>
      <c r="X51" s="1497"/>
      <c r="Y51" s="1497">
        <f>V51</f>
        <v>1975228.7200000002</v>
      </c>
      <c r="Z51" s="1497"/>
      <c r="AA51" s="859">
        <v>125</v>
      </c>
      <c r="AB51" s="867"/>
      <c r="AC51" s="867">
        <v>2819378</v>
      </c>
      <c r="AD51" s="868">
        <v>99480</v>
      </c>
      <c r="AE51" s="870" t="s">
        <v>51</v>
      </c>
      <c r="AF51" s="868">
        <v>0</v>
      </c>
      <c r="AG51" s="871"/>
      <c r="AH51" s="872"/>
      <c r="AI51" s="868"/>
    </row>
    <row r="52" spans="1:35" customFormat="1" ht="14.25" customHeight="1" x14ac:dyDescent="0.2">
      <c r="A52" s="3044"/>
      <c r="B52" s="38"/>
      <c r="C52" s="13"/>
      <c r="D52" s="643"/>
      <c r="E52" s="643"/>
      <c r="F52" s="14"/>
      <c r="G52" s="14"/>
      <c r="H52" s="50"/>
      <c r="I52" s="49"/>
      <c r="J52" s="873"/>
      <c r="K52" s="3050"/>
      <c r="L52" s="853"/>
      <c r="M52" s="854"/>
      <c r="N52" s="855"/>
      <c r="O52" s="865"/>
      <c r="P52" s="850"/>
      <c r="Q52" s="866" t="s">
        <v>600</v>
      </c>
      <c r="R52" s="45"/>
      <c r="S52" s="867"/>
      <c r="T52" s="868"/>
      <c r="U52" s="869"/>
      <c r="V52" s="821"/>
      <c r="W52" s="822"/>
      <c r="X52" s="1497">
        <f>V52</f>
        <v>0</v>
      </c>
      <c r="Y52" s="1497"/>
      <c r="Z52" s="1497"/>
      <c r="AA52" s="874">
        <v>6</v>
      </c>
      <c r="AB52" s="821">
        <v>59700</v>
      </c>
      <c r="AC52" s="867">
        <v>59700</v>
      </c>
      <c r="AD52" s="875"/>
      <c r="AE52" s="874"/>
      <c r="AF52" s="867"/>
      <c r="AG52" s="876"/>
      <c r="AH52" s="872"/>
      <c r="AI52" s="868"/>
    </row>
    <row r="53" spans="1:35" ht="14.25" customHeight="1" x14ac:dyDescent="0.2">
      <c r="A53" s="3044"/>
      <c r="B53" s="3055" t="s">
        <v>29</v>
      </c>
      <c r="C53" s="877">
        <v>4</v>
      </c>
      <c r="D53" s="878" t="s">
        <v>127</v>
      </c>
      <c r="E53" s="851">
        <v>3</v>
      </c>
      <c r="F53" s="852">
        <v>311904</v>
      </c>
      <c r="G53" s="852">
        <v>0</v>
      </c>
      <c r="H53" s="851">
        <v>0</v>
      </c>
      <c r="I53" s="852">
        <v>0</v>
      </c>
      <c r="K53" s="3050"/>
      <c r="L53" s="853"/>
      <c r="M53" s="854"/>
      <c r="N53" s="855"/>
      <c r="O53" s="3057" t="s">
        <v>29</v>
      </c>
      <c r="P53" s="877">
        <v>4</v>
      </c>
      <c r="Q53" s="879" t="s">
        <v>45</v>
      </c>
      <c r="R53" s="45">
        <v>3</v>
      </c>
      <c r="S53" s="839">
        <v>311904</v>
      </c>
      <c r="T53" s="857"/>
      <c r="U53" s="858">
        <v>3</v>
      </c>
      <c r="V53" s="821">
        <f>S53/R53*U53</f>
        <v>311904</v>
      </c>
      <c r="W53" s="822">
        <f t="shared" ref="W53:W67" si="6">T53/R53*U53</f>
        <v>0</v>
      </c>
      <c r="X53" s="1497">
        <f>V53</f>
        <v>311904</v>
      </c>
      <c r="Y53" s="1497"/>
      <c r="Z53" s="1497"/>
      <c r="AA53" s="859">
        <v>7</v>
      </c>
      <c r="AB53" s="860" t="e">
        <v>#VALUE!</v>
      </c>
      <c r="AC53" s="839">
        <v>528010</v>
      </c>
      <c r="AD53" s="857"/>
      <c r="AE53" s="861" t="e">
        <v>#VALUE!</v>
      </c>
      <c r="AF53" s="862" t="e">
        <v>#VALUE!</v>
      </c>
      <c r="AG53" s="863" t="e">
        <v>#VALUE!</v>
      </c>
      <c r="AH53" s="864">
        <v>0</v>
      </c>
      <c r="AI53" s="822"/>
    </row>
    <row r="54" spans="1:35" ht="14.25" customHeight="1" x14ac:dyDescent="0.2">
      <c r="A54" s="3044"/>
      <c r="B54" s="3056"/>
      <c r="C54" s="877">
        <v>5</v>
      </c>
      <c r="D54" s="878" t="s">
        <v>135</v>
      </c>
      <c r="E54" s="851">
        <v>10</v>
      </c>
      <c r="F54" s="852">
        <v>303400</v>
      </c>
      <c r="G54" s="852">
        <v>0</v>
      </c>
      <c r="H54" s="851">
        <v>0</v>
      </c>
      <c r="I54" s="852">
        <v>0</v>
      </c>
      <c r="K54" s="3050"/>
      <c r="L54" s="853"/>
      <c r="M54" s="854"/>
      <c r="N54" s="855"/>
      <c r="O54" s="3058"/>
      <c r="P54" s="877">
        <v>5</v>
      </c>
      <c r="Q54" s="879" t="s">
        <v>552</v>
      </c>
      <c r="R54" s="45">
        <v>10</v>
      </c>
      <c r="S54" s="839">
        <v>303400</v>
      </c>
      <c r="T54" s="857"/>
      <c r="U54" s="858">
        <v>9</v>
      </c>
      <c r="V54" s="821">
        <f>S54/R54*U54</f>
        <v>273060</v>
      </c>
      <c r="W54" s="822">
        <f t="shared" si="6"/>
        <v>0</v>
      </c>
      <c r="X54" s="1497">
        <f>V54</f>
        <v>273060</v>
      </c>
      <c r="Y54" s="1497"/>
      <c r="Z54" s="1497"/>
      <c r="AA54" s="859">
        <v>40</v>
      </c>
      <c r="AB54" s="860" t="e">
        <v>#VALUE!</v>
      </c>
      <c r="AC54" s="839">
        <v>730920</v>
      </c>
      <c r="AD54" s="857"/>
      <c r="AE54" s="861" t="e">
        <v>#VALUE!</v>
      </c>
      <c r="AF54" s="862" t="e">
        <v>#VALUE!</v>
      </c>
      <c r="AG54" s="863" t="e">
        <v>#VALUE!</v>
      </c>
      <c r="AH54" s="864">
        <v>0</v>
      </c>
      <c r="AI54" s="822"/>
    </row>
    <row r="55" spans="1:35" ht="14.25" customHeight="1" x14ac:dyDescent="0.2">
      <c r="A55" s="3044"/>
      <c r="B55" s="877"/>
      <c r="C55" s="877"/>
      <c r="D55" s="878"/>
      <c r="E55" s="851"/>
      <c r="F55" s="852"/>
      <c r="G55" s="852"/>
      <c r="H55" s="851"/>
      <c r="I55" s="852"/>
      <c r="K55" s="3050"/>
      <c r="L55" s="853"/>
      <c r="M55" s="854"/>
      <c r="N55" s="855"/>
      <c r="O55" s="880"/>
      <c r="P55" s="877">
        <v>6</v>
      </c>
      <c r="Q55" s="866" t="s">
        <v>67</v>
      </c>
      <c r="R55" s="45">
        <v>1</v>
      </c>
      <c r="S55" s="839">
        <v>420311.4</v>
      </c>
      <c r="T55" s="857">
        <v>74172.600000000006</v>
      </c>
      <c r="U55" s="858">
        <v>1</v>
      </c>
      <c r="V55" s="821">
        <f>S55/R55*U55/12*10</f>
        <v>350259.50000000006</v>
      </c>
      <c r="W55" s="822">
        <f t="shared" si="6"/>
        <v>74172.600000000006</v>
      </c>
      <c r="X55" s="1497"/>
      <c r="Y55" s="1497">
        <f>V55</f>
        <v>350259.50000000006</v>
      </c>
      <c r="Z55" s="1497"/>
      <c r="AA55" s="859">
        <f>1</f>
        <v>1</v>
      </c>
      <c r="AB55" s="860"/>
      <c r="AC55" s="839">
        <v>681720</v>
      </c>
      <c r="AD55" s="857">
        <v>66701.399999999994</v>
      </c>
      <c r="AE55" s="861"/>
      <c r="AF55" s="862"/>
      <c r="AG55" s="863"/>
      <c r="AH55" s="864"/>
      <c r="AI55" s="17">
        <v>680000</v>
      </c>
    </row>
    <row r="56" spans="1:35" ht="14.25" customHeight="1" x14ac:dyDescent="0.2">
      <c r="A56" s="3044"/>
      <c r="B56" s="877"/>
      <c r="C56" s="877"/>
      <c r="D56" s="878"/>
      <c r="E56" s="851"/>
      <c r="F56" s="852"/>
      <c r="G56" s="852"/>
      <c r="H56" s="851"/>
      <c r="I56" s="852"/>
      <c r="K56" s="3050"/>
      <c r="L56" s="853"/>
      <c r="M56" s="854"/>
      <c r="N56" s="855"/>
      <c r="O56" s="880"/>
      <c r="P56" s="877">
        <v>7</v>
      </c>
      <c r="Q56" s="866" t="s">
        <v>74</v>
      </c>
      <c r="R56" s="45">
        <v>1</v>
      </c>
      <c r="S56" s="839">
        <v>1169480</v>
      </c>
      <c r="T56" s="857">
        <v>47520</v>
      </c>
      <c r="U56" s="858">
        <v>1</v>
      </c>
      <c r="V56" s="821">
        <f>S56/R56*U56/12*7</f>
        <v>682196.66666666674</v>
      </c>
      <c r="W56" s="822">
        <f t="shared" si="6"/>
        <v>47520</v>
      </c>
      <c r="X56" s="1497"/>
      <c r="Y56" s="1497">
        <f>V56</f>
        <v>682196.66666666674</v>
      </c>
      <c r="Z56" s="1497"/>
      <c r="AA56" s="859"/>
      <c r="AB56" s="860"/>
      <c r="AC56" s="839">
        <v>1302766</v>
      </c>
      <c r="AD56" s="857">
        <v>47544</v>
      </c>
      <c r="AE56" s="861"/>
      <c r="AF56" s="862"/>
      <c r="AG56" s="863"/>
      <c r="AH56" s="864"/>
      <c r="AI56" s="17">
        <v>322480</v>
      </c>
    </row>
    <row r="57" spans="1:35" ht="14.25" customHeight="1" x14ac:dyDescent="0.2">
      <c r="A57" s="3044"/>
      <c r="B57" s="877"/>
      <c r="C57" s="877"/>
      <c r="D57" s="878"/>
      <c r="E57" s="851"/>
      <c r="F57" s="852"/>
      <c r="G57" s="852"/>
      <c r="H57" s="851"/>
      <c r="I57" s="852"/>
      <c r="K57" s="3050"/>
      <c r="L57" s="853"/>
      <c r="M57" s="854"/>
      <c r="N57" s="855"/>
      <c r="O57" s="880"/>
      <c r="P57" s="877">
        <v>8</v>
      </c>
      <c r="Q57" s="881" t="s">
        <v>73</v>
      </c>
      <c r="R57" s="45">
        <v>1</v>
      </c>
      <c r="S57" s="839">
        <v>671220</v>
      </c>
      <c r="T57" s="857">
        <v>0</v>
      </c>
      <c r="U57" s="858"/>
      <c r="V57" s="821">
        <f t="shared" ref="V57:V67" si="7">S57/R57*U57</f>
        <v>0</v>
      </c>
      <c r="W57" s="822">
        <f t="shared" si="6"/>
        <v>0</v>
      </c>
      <c r="X57" s="1497"/>
      <c r="Y57" s="1497">
        <f>V57</f>
        <v>0</v>
      </c>
      <c r="Z57" s="1497"/>
      <c r="AA57" s="859"/>
      <c r="AB57" s="860"/>
      <c r="AC57" s="839">
        <v>625108</v>
      </c>
      <c r="AD57" s="857"/>
      <c r="AE57" s="861"/>
      <c r="AF57" s="862"/>
      <c r="AG57" s="863"/>
      <c r="AH57" s="864"/>
      <c r="AI57" s="822"/>
    </row>
    <row r="58" spans="1:35" ht="14.25" customHeight="1" x14ac:dyDescent="0.2">
      <c r="A58" s="3044"/>
      <c r="B58" s="877"/>
      <c r="C58" s="877"/>
      <c r="D58" s="878"/>
      <c r="E58" s="851"/>
      <c r="F58" s="852"/>
      <c r="G58" s="852"/>
      <c r="H58" s="851"/>
      <c r="I58" s="852"/>
      <c r="K58" s="3050"/>
      <c r="L58" s="853"/>
      <c r="M58" s="854"/>
      <c r="N58" s="855"/>
      <c r="O58" s="880"/>
      <c r="P58" s="877">
        <v>9</v>
      </c>
      <c r="Q58" s="866" t="s">
        <v>178</v>
      </c>
      <c r="R58" s="45">
        <v>8</v>
      </c>
      <c r="S58" s="867">
        <v>187360</v>
      </c>
      <c r="T58" s="868">
        <v>0</v>
      </c>
      <c r="U58" s="869">
        <v>2</v>
      </c>
      <c r="V58" s="821">
        <f t="shared" si="7"/>
        <v>46840</v>
      </c>
      <c r="W58" s="822">
        <f t="shared" si="6"/>
        <v>0</v>
      </c>
      <c r="X58" s="1497"/>
      <c r="Y58" s="1497">
        <f>V58</f>
        <v>46840</v>
      </c>
      <c r="Z58" s="1497"/>
      <c r="AA58" s="859">
        <v>8</v>
      </c>
      <c r="AB58" s="860"/>
      <c r="AC58" s="839">
        <v>596160</v>
      </c>
      <c r="AD58" s="857"/>
      <c r="AE58" s="861"/>
      <c r="AF58" s="862"/>
      <c r="AG58" s="863"/>
      <c r="AH58" s="864"/>
      <c r="AI58" s="822"/>
    </row>
    <row r="59" spans="1:35" ht="14.25" customHeight="1" x14ac:dyDescent="0.2">
      <c r="A59" s="3044"/>
      <c r="B59" s="3059" t="s">
        <v>6</v>
      </c>
      <c r="C59" s="882">
        <v>10</v>
      </c>
      <c r="D59" s="878" t="s">
        <v>185</v>
      </c>
      <c r="E59" s="851">
        <v>8</v>
      </c>
      <c r="F59" s="852">
        <v>717400</v>
      </c>
      <c r="G59" s="852">
        <v>126600</v>
      </c>
      <c r="H59" s="851">
        <v>11</v>
      </c>
      <c r="I59" s="852">
        <v>1365500</v>
      </c>
      <c r="K59" s="3050"/>
      <c r="L59" s="853"/>
      <c r="M59" s="854"/>
      <c r="N59" s="855"/>
      <c r="O59" s="3062" t="s">
        <v>6</v>
      </c>
      <c r="P59" s="882">
        <v>10</v>
      </c>
      <c r="Q59" s="879" t="s">
        <v>555</v>
      </c>
      <c r="R59" s="45">
        <v>8</v>
      </c>
      <c r="S59" s="867">
        <v>717400</v>
      </c>
      <c r="T59" s="868">
        <v>126600</v>
      </c>
      <c r="U59" s="869">
        <v>8</v>
      </c>
      <c r="V59" s="821">
        <f t="shared" si="7"/>
        <v>717400</v>
      </c>
      <c r="W59" s="822">
        <f t="shared" si="6"/>
        <v>126600</v>
      </c>
      <c r="X59" s="1497">
        <f>V59</f>
        <v>717400</v>
      </c>
      <c r="Y59" s="1497"/>
      <c r="Z59" s="1497"/>
      <c r="AA59" s="859">
        <v>7</v>
      </c>
      <c r="AB59" s="860">
        <v>0</v>
      </c>
      <c r="AC59" s="839">
        <v>2011164.6739130435</v>
      </c>
      <c r="AD59" s="857">
        <v>354911.41304347827</v>
      </c>
      <c r="AE59" s="861">
        <v>0</v>
      </c>
      <c r="AF59" s="862">
        <v>11</v>
      </c>
      <c r="AG59" s="863">
        <v>3979369.5652173916</v>
      </c>
      <c r="AH59" s="864">
        <v>1365500</v>
      </c>
      <c r="AI59" s="822"/>
    </row>
    <row r="60" spans="1:35" ht="14.25" customHeight="1" x14ac:dyDescent="0.2">
      <c r="A60" s="3044"/>
      <c r="B60" s="3060"/>
      <c r="C60" s="882">
        <v>11</v>
      </c>
      <c r="D60" s="878" t="s">
        <v>189</v>
      </c>
      <c r="E60" s="851">
        <v>4</v>
      </c>
      <c r="F60" s="852">
        <v>314160</v>
      </c>
      <c r="G60" s="852">
        <v>55440</v>
      </c>
      <c r="H60" s="851">
        <v>0</v>
      </c>
      <c r="I60" s="852">
        <v>0</v>
      </c>
      <c r="K60" s="3050"/>
      <c r="L60" s="853"/>
      <c r="M60" s="854"/>
      <c r="N60" s="855"/>
      <c r="O60" s="3063"/>
      <c r="P60" s="882">
        <v>11</v>
      </c>
      <c r="Q60" s="879" t="s">
        <v>36</v>
      </c>
      <c r="R60" s="45">
        <v>4</v>
      </c>
      <c r="S60" s="839">
        <v>314160</v>
      </c>
      <c r="T60" s="857">
        <v>55440</v>
      </c>
      <c r="U60" s="858">
        <v>4</v>
      </c>
      <c r="V60" s="821">
        <f t="shared" si="7"/>
        <v>314160</v>
      </c>
      <c r="W60" s="822">
        <f t="shared" si="6"/>
        <v>55440</v>
      </c>
      <c r="X60" s="1497">
        <f t="shared" ref="X60:X67" si="8">V60</f>
        <v>314160</v>
      </c>
      <c r="Y60" s="1497"/>
      <c r="Z60" s="1497"/>
      <c r="AA60" s="859">
        <v>4</v>
      </c>
      <c r="AB60" s="860">
        <v>0</v>
      </c>
      <c r="AC60" s="839">
        <v>756500</v>
      </c>
      <c r="AD60" s="857">
        <v>133500</v>
      </c>
      <c r="AE60" s="861">
        <v>0</v>
      </c>
      <c r="AF60" s="862">
        <v>0</v>
      </c>
      <c r="AG60" s="863">
        <v>0</v>
      </c>
      <c r="AH60" s="864">
        <v>0</v>
      </c>
      <c r="AI60" s="822"/>
    </row>
    <row r="61" spans="1:35" ht="14.25" customHeight="1" x14ac:dyDescent="0.2">
      <c r="A61" s="3044"/>
      <c r="B61" s="3060"/>
      <c r="C61" s="882">
        <v>12</v>
      </c>
      <c r="D61" s="878" t="s">
        <v>193</v>
      </c>
      <c r="E61" s="851">
        <v>1</v>
      </c>
      <c r="F61" s="852">
        <v>0</v>
      </c>
      <c r="G61" s="852">
        <v>0</v>
      </c>
      <c r="H61" s="851">
        <v>0</v>
      </c>
      <c r="I61" s="852">
        <v>84500</v>
      </c>
      <c r="K61" s="3050"/>
      <c r="L61" s="853"/>
      <c r="M61" s="854"/>
      <c r="N61" s="855"/>
      <c r="O61" s="3063"/>
      <c r="P61" s="882">
        <v>12</v>
      </c>
      <c r="Q61" s="879" t="s">
        <v>721</v>
      </c>
      <c r="R61" s="45">
        <v>1</v>
      </c>
      <c r="S61" s="839">
        <v>0</v>
      </c>
      <c r="T61" s="857">
        <v>0</v>
      </c>
      <c r="U61" s="858"/>
      <c r="V61" s="821">
        <f t="shared" si="7"/>
        <v>0</v>
      </c>
      <c r="W61" s="822">
        <f t="shared" si="6"/>
        <v>0</v>
      </c>
      <c r="X61" s="1497">
        <f t="shared" si="8"/>
        <v>0</v>
      </c>
      <c r="Y61" s="1497"/>
      <c r="Z61" s="1497"/>
      <c r="AA61" s="859"/>
      <c r="AB61" s="860"/>
      <c r="AC61" s="839"/>
      <c r="AD61" s="857"/>
      <c r="AE61" s="861"/>
      <c r="AF61" s="862"/>
      <c r="AG61" s="863"/>
      <c r="AH61" s="864">
        <v>84500</v>
      </c>
      <c r="AI61" s="822"/>
    </row>
    <row r="62" spans="1:35" ht="14.25" customHeight="1" x14ac:dyDescent="0.2">
      <c r="A62" s="3044"/>
      <c r="B62" s="3060"/>
      <c r="C62" s="882">
        <v>13</v>
      </c>
      <c r="D62" s="878" t="s">
        <v>196</v>
      </c>
      <c r="E62" s="851">
        <v>4</v>
      </c>
      <c r="F62" s="852">
        <v>498276.80000000005</v>
      </c>
      <c r="G62" s="852">
        <v>87931.200000000012</v>
      </c>
      <c r="H62" s="851">
        <v>0</v>
      </c>
      <c r="I62" s="852">
        <v>0</v>
      </c>
      <c r="K62" s="3050"/>
      <c r="L62" s="853"/>
      <c r="M62" s="854"/>
      <c r="N62" s="855"/>
      <c r="O62" s="3063"/>
      <c r="P62" s="882">
        <v>13</v>
      </c>
      <c r="Q62" s="879" t="s">
        <v>38</v>
      </c>
      <c r="R62" s="45">
        <v>4</v>
      </c>
      <c r="S62" s="839">
        <v>498276.80000000005</v>
      </c>
      <c r="T62" s="857">
        <v>87931.200000000012</v>
      </c>
      <c r="U62" s="858">
        <v>3</v>
      </c>
      <c r="V62" s="821">
        <f t="shared" si="7"/>
        <v>373707.60000000003</v>
      </c>
      <c r="W62" s="822">
        <f t="shared" si="6"/>
        <v>65948.400000000009</v>
      </c>
      <c r="X62" s="1497">
        <f t="shared" si="8"/>
        <v>373707.60000000003</v>
      </c>
      <c r="Y62" s="1497"/>
      <c r="Z62" s="1497"/>
      <c r="AA62" s="859">
        <v>4</v>
      </c>
      <c r="AB62" s="860">
        <v>0</v>
      </c>
      <c r="AC62" s="839">
        <v>1521088.1565217392</v>
      </c>
      <c r="AD62" s="857">
        <v>268427.32173913042</v>
      </c>
      <c r="AE62" s="861">
        <v>0</v>
      </c>
      <c r="AF62" s="862">
        <v>0</v>
      </c>
      <c r="AG62" s="863">
        <v>0</v>
      </c>
      <c r="AH62" s="864">
        <v>0</v>
      </c>
      <c r="AI62" s="822"/>
    </row>
    <row r="63" spans="1:35" ht="15" customHeight="1" x14ac:dyDescent="0.2">
      <c r="A63" s="3044"/>
      <c r="B63" s="3061"/>
      <c r="C63" s="882">
        <v>14</v>
      </c>
      <c r="D63" s="878" t="s">
        <v>201</v>
      </c>
      <c r="E63" s="851">
        <v>2</v>
      </c>
      <c r="F63" s="852">
        <v>186680.4</v>
      </c>
      <c r="G63" s="852">
        <v>32943.599999999999</v>
      </c>
      <c r="H63" s="851">
        <v>0</v>
      </c>
      <c r="I63" s="852">
        <v>0</v>
      </c>
      <c r="K63" s="3050"/>
      <c r="L63" s="853"/>
      <c r="M63" s="854"/>
      <c r="N63" s="855"/>
      <c r="O63" s="3064"/>
      <c r="P63" s="882">
        <v>14</v>
      </c>
      <c r="Q63" s="879" t="s">
        <v>39</v>
      </c>
      <c r="R63" s="45">
        <v>2</v>
      </c>
      <c r="S63" s="839">
        <v>186680.4</v>
      </c>
      <c r="T63" s="857">
        <v>32943.599999999999</v>
      </c>
      <c r="U63" s="858">
        <v>2</v>
      </c>
      <c r="V63" s="821">
        <f t="shared" si="7"/>
        <v>186680.4</v>
      </c>
      <c r="W63" s="822">
        <f t="shared" si="6"/>
        <v>32943.599999999999</v>
      </c>
      <c r="X63" s="1497">
        <f t="shared" si="8"/>
        <v>186680.4</v>
      </c>
      <c r="Y63" s="1497"/>
      <c r="Z63" s="1497"/>
      <c r="AA63" s="859">
        <v>3</v>
      </c>
      <c r="AB63" s="860">
        <v>0</v>
      </c>
      <c r="AC63" s="839">
        <v>813831.02173913037</v>
      </c>
      <c r="AD63" s="857">
        <v>143617.23913043478</v>
      </c>
      <c r="AE63" s="861">
        <v>0</v>
      </c>
      <c r="AF63" s="862">
        <v>0</v>
      </c>
      <c r="AG63" s="863">
        <v>0</v>
      </c>
      <c r="AH63" s="864">
        <v>0</v>
      </c>
      <c r="AI63" s="822"/>
    </row>
    <row r="64" spans="1:35" ht="15" customHeight="1" x14ac:dyDescent="0.2">
      <c r="A64" s="3044"/>
      <c r="B64" s="882" t="s">
        <v>26</v>
      </c>
      <c r="C64" s="882">
        <v>15</v>
      </c>
      <c r="D64" s="878" t="s">
        <v>206</v>
      </c>
      <c r="E64" s="851">
        <v>2</v>
      </c>
      <c r="F64" s="852">
        <v>336783.3333333332</v>
      </c>
      <c r="G64" s="852">
        <v>0</v>
      </c>
      <c r="H64" s="851">
        <v>0</v>
      </c>
      <c r="I64" s="852">
        <v>0</v>
      </c>
      <c r="K64" s="3050"/>
      <c r="L64" s="853"/>
      <c r="M64" s="854"/>
      <c r="N64" s="855"/>
      <c r="O64" s="883" t="s">
        <v>26</v>
      </c>
      <c r="P64" s="882">
        <v>15</v>
      </c>
      <c r="Q64" s="879" t="s">
        <v>562</v>
      </c>
      <c r="R64" s="45">
        <v>2</v>
      </c>
      <c r="S64" s="839">
        <v>336783.3333333332</v>
      </c>
      <c r="T64" s="857">
        <v>0</v>
      </c>
      <c r="U64" s="858">
        <v>2</v>
      </c>
      <c r="V64" s="821">
        <f t="shared" si="7"/>
        <v>336783.3333333332</v>
      </c>
      <c r="W64" s="822">
        <f t="shared" si="6"/>
        <v>0</v>
      </c>
      <c r="X64" s="1497">
        <f t="shared" si="8"/>
        <v>336783.3333333332</v>
      </c>
      <c r="Y64" s="1497"/>
      <c r="Z64" s="1497"/>
      <c r="AA64" s="859">
        <v>12</v>
      </c>
      <c r="AB64" s="860">
        <v>0</v>
      </c>
      <c r="AC64" s="839">
        <v>2020699.9999999991</v>
      </c>
      <c r="AD64" s="857">
        <v>0</v>
      </c>
      <c r="AE64" s="861">
        <v>0</v>
      </c>
      <c r="AF64" s="862">
        <v>0</v>
      </c>
      <c r="AG64" s="863">
        <v>0</v>
      </c>
      <c r="AH64" s="864">
        <v>0</v>
      </c>
      <c r="AI64" s="822"/>
    </row>
    <row r="65" spans="1:35" ht="15" customHeight="1" x14ac:dyDescent="0.2">
      <c r="A65" s="3044"/>
      <c r="B65" s="882"/>
      <c r="C65" s="882">
        <v>16</v>
      </c>
      <c r="D65" s="878" t="s">
        <v>211</v>
      </c>
      <c r="E65" s="851">
        <v>60</v>
      </c>
      <c r="F65" s="852">
        <v>179136</v>
      </c>
      <c r="G65" s="852">
        <v>0</v>
      </c>
      <c r="H65" s="851">
        <v>6</v>
      </c>
      <c r="I65" s="852">
        <v>316800</v>
      </c>
      <c r="K65" s="3050"/>
      <c r="L65" s="853"/>
      <c r="M65" s="854"/>
      <c r="N65" s="855"/>
      <c r="O65" s="883"/>
      <c r="P65" s="882">
        <v>16</v>
      </c>
      <c r="Q65" s="879" t="s">
        <v>663</v>
      </c>
      <c r="R65" s="45">
        <v>60</v>
      </c>
      <c r="S65" s="867">
        <v>179136</v>
      </c>
      <c r="T65" s="868">
        <v>0</v>
      </c>
      <c r="U65" s="869">
        <v>47</v>
      </c>
      <c r="V65" s="821">
        <f t="shared" si="7"/>
        <v>140323.19999999998</v>
      </c>
      <c r="W65" s="822">
        <f t="shared" si="6"/>
        <v>0</v>
      </c>
      <c r="X65" s="1497">
        <f t="shared" si="8"/>
        <v>140323.19999999998</v>
      </c>
      <c r="Y65" s="1497"/>
      <c r="Z65" s="1497"/>
      <c r="AA65" s="859">
        <v>139</v>
      </c>
      <c r="AB65" s="860">
        <v>0</v>
      </c>
      <c r="AC65" s="839">
        <v>522652</v>
      </c>
      <c r="AD65" s="857">
        <v>0</v>
      </c>
      <c r="AE65" s="861">
        <v>0</v>
      </c>
      <c r="AF65" s="862">
        <v>0</v>
      </c>
      <c r="AG65" s="863">
        <v>56544</v>
      </c>
      <c r="AH65" s="864">
        <v>316800</v>
      </c>
      <c r="AI65" s="822"/>
    </row>
    <row r="66" spans="1:35" ht="15" customHeight="1" x14ac:dyDescent="0.2">
      <c r="A66" s="3044"/>
      <c r="B66" s="877"/>
      <c r="C66" s="877">
        <v>17</v>
      </c>
      <c r="D66" s="878" t="s">
        <v>216</v>
      </c>
      <c r="E66" s="851"/>
      <c r="F66" s="852">
        <v>506150</v>
      </c>
      <c r="G66" s="852">
        <v>0</v>
      </c>
      <c r="H66" s="851"/>
      <c r="I66" s="852">
        <v>0</v>
      </c>
      <c r="K66" s="3050"/>
      <c r="L66" s="853"/>
      <c r="M66" s="854"/>
      <c r="N66" s="855"/>
      <c r="O66" s="880"/>
      <c r="P66" s="877">
        <v>17</v>
      </c>
      <c r="Q66" s="879" t="s">
        <v>43</v>
      </c>
      <c r="R66" s="45">
        <v>1</v>
      </c>
      <c r="S66" s="867">
        <v>506150</v>
      </c>
      <c r="T66" s="868">
        <v>0</v>
      </c>
      <c r="U66" s="869">
        <v>0.5</v>
      </c>
      <c r="V66" s="821">
        <f t="shared" si="7"/>
        <v>253075</v>
      </c>
      <c r="W66" s="822">
        <f t="shared" si="6"/>
        <v>0</v>
      </c>
      <c r="X66" s="1497">
        <f>V66</f>
        <v>253075</v>
      </c>
      <c r="Y66" s="1497"/>
      <c r="Z66" s="1497"/>
      <c r="AA66" s="859"/>
      <c r="AB66" s="860">
        <v>0</v>
      </c>
      <c r="AC66" s="839">
        <v>2251000</v>
      </c>
      <c r="AD66" s="857">
        <v>0</v>
      </c>
      <c r="AE66" s="861">
        <v>0</v>
      </c>
      <c r="AF66" s="862">
        <v>0</v>
      </c>
      <c r="AG66" s="863">
        <v>0</v>
      </c>
      <c r="AH66" s="864">
        <v>0</v>
      </c>
      <c r="AI66" s="822"/>
    </row>
    <row r="67" spans="1:35" ht="14.25" customHeight="1" x14ac:dyDescent="0.2">
      <c r="A67" s="3044"/>
      <c r="B67" s="884"/>
      <c r="C67" s="884">
        <v>18</v>
      </c>
      <c r="D67" s="878" t="s">
        <v>222</v>
      </c>
      <c r="E67" s="851">
        <v>15</v>
      </c>
      <c r="F67" s="852">
        <v>33000</v>
      </c>
      <c r="G67" s="852">
        <v>0</v>
      </c>
      <c r="H67" s="851">
        <v>0</v>
      </c>
      <c r="I67" s="852">
        <v>0</v>
      </c>
      <c r="K67" s="3050"/>
      <c r="L67" s="853"/>
      <c r="M67" s="854"/>
      <c r="N67" s="855"/>
      <c r="O67" s="885"/>
      <c r="P67" s="877">
        <v>18</v>
      </c>
      <c r="Q67" s="879" t="s">
        <v>35</v>
      </c>
      <c r="R67" s="45">
        <v>15</v>
      </c>
      <c r="S67" s="839">
        <v>33000</v>
      </c>
      <c r="T67" s="857">
        <v>0</v>
      </c>
      <c r="U67" s="858">
        <v>15</v>
      </c>
      <c r="V67" s="821">
        <f t="shared" si="7"/>
        <v>33000</v>
      </c>
      <c r="W67" s="822">
        <f t="shared" si="6"/>
        <v>0</v>
      </c>
      <c r="X67" s="1497">
        <f t="shared" si="8"/>
        <v>33000</v>
      </c>
      <c r="Y67" s="1497"/>
      <c r="Z67" s="1497"/>
      <c r="AA67" s="859">
        <v>35</v>
      </c>
      <c r="AB67" s="860">
        <v>0</v>
      </c>
      <c r="AC67" s="839">
        <v>77000</v>
      </c>
      <c r="AD67" s="857">
        <v>0</v>
      </c>
      <c r="AE67" s="861">
        <v>0</v>
      </c>
      <c r="AF67" s="862">
        <v>0</v>
      </c>
      <c r="AG67" s="863">
        <v>0</v>
      </c>
      <c r="AH67" s="864">
        <v>0</v>
      </c>
      <c r="AI67" s="822"/>
    </row>
    <row r="68" spans="1:35" ht="14.25" customHeight="1" x14ac:dyDescent="0.2">
      <c r="A68" s="3044"/>
      <c r="B68" s="886"/>
      <c r="C68" s="886"/>
      <c r="D68" s="887"/>
      <c r="E68" s="888"/>
      <c r="F68" s="889"/>
      <c r="G68" s="889"/>
      <c r="H68" s="888"/>
      <c r="I68" s="889"/>
      <c r="K68" s="3050"/>
      <c r="L68" s="890"/>
      <c r="M68" s="891"/>
      <c r="N68" s="892"/>
      <c r="O68" s="893"/>
      <c r="P68" s="894">
        <v>19</v>
      </c>
      <c r="Q68" s="895" t="s">
        <v>722</v>
      </c>
      <c r="R68" s="896"/>
      <c r="S68" s="897"/>
      <c r="T68" s="898"/>
      <c r="U68" s="899"/>
      <c r="V68" s="821"/>
      <c r="W68" s="822"/>
      <c r="X68" s="1498"/>
      <c r="Y68" s="1498"/>
      <c r="Z68" s="1498"/>
      <c r="AA68" s="900">
        <v>2</v>
      </c>
      <c r="AB68" s="901">
        <v>0</v>
      </c>
      <c r="AC68" s="902">
        <v>340000</v>
      </c>
      <c r="AD68" s="903">
        <v>0</v>
      </c>
      <c r="AE68" s="904">
        <v>0</v>
      </c>
      <c r="AF68" s="905">
        <v>0</v>
      </c>
      <c r="AG68" s="906">
        <v>0</v>
      </c>
      <c r="AH68" s="907"/>
      <c r="AI68" s="898"/>
    </row>
    <row r="69" spans="1:35" ht="14.25" customHeight="1" x14ac:dyDescent="0.2">
      <c r="A69" s="3044"/>
      <c r="B69" s="886"/>
      <c r="C69" s="886"/>
      <c r="D69" s="887"/>
      <c r="E69" s="888"/>
      <c r="F69" s="889"/>
      <c r="G69" s="889"/>
      <c r="H69" s="888"/>
      <c r="I69" s="889"/>
      <c r="K69" s="3050"/>
      <c r="L69" s="890"/>
      <c r="M69" s="891"/>
      <c r="N69" s="892"/>
      <c r="O69" s="893"/>
      <c r="P69" s="894">
        <v>20</v>
      </c>
      <c r="Q69" s="895" t="s">
        <v>577</v>
      </c>
      <c r="R69" s="896"/>
      <c r="S69" s="897"/>
      <c r="T69" s="898"/>
      <c r="U69" s="899"/>
      <c r="V69" s="821"/>
      <c r="W69" s="822"/>
      <c r="X69" s="1498"/>
      <c r="Y69" s="1498"/>
      <c r="Z69" s="1498"/>
      <c r="AA69" s="900">
        <v>10</v>
      </c>
      <c r="AB69" s="901">
        <v>0</v>
      </c>
      <c r="AC69" s="902">
        <v>502816</v>
      </c>
      <c r="AD69" s="903">
        <v>0</v>
      </c>
      <c r="AE69" s="904">
        <v>0</v>
      </c>
      <c r="AF69" s="905">
        <v>0</v>
      </c>
      <c r="AG69" s="906">
        <v>0</v>
      </c>
      <c r="AH69" s="907"/>
      <c r="AI69" s="898"/>
    </row>
    <row r="70" spans="1:35" ht="14.25" customHeight="1" x14ac:dyDescent="0.2">
      <c r="A70" s="3044"/>
      <c r="B70" s="886"/>
      <c r="C70" s="886"/>
      <c r="D70" s="887"/>
      <c r="E70" s="888"/>
      <c r="F70" s="889"/>
      <c r="G70" s="889"/>
      <c r="H70" s="888"/>
      <c r="I70" s="889"/>
      <c r="K70" s="3050"/>
      <c r="L70" s="890"/>
      <c r="M70" s="891"/>
      <c r="N70" s="892"/>
      <c r="O70" s="893"/>
      <c r="P70" s="894"/>
      <c r="Q70" s="908" t="s">
        <v>60</v>
      </c>
      <c r="R70" s="896"/>
      <c r="S70" s="897"/>
      <c r="T70" s="898"/>
      <c r="U70" s="899"/>
      <c r="V70" s="821"/>
      <c r="W70" s="822"/>
      <c r="X70" s="1498"/>
      <c r="Y70" s="1498"/>
      <c r="Z70" s="1498"/>
      <c r="AA70" s="900"/>
      <c r="AB70" s="901"/>
      <c r="AC70" s="902"/>
      <c r="AD70" s="903"/>
      <c r="AE70" s="904"/>
      <c r="AF70" s="905"/>
      <c r="AG70" s="906"/>
      <c r="AH70" s="907"/>
      <c r="AI70" s="898">
        <v>200000</v>
      </c>
    </row>
    <row r="71" spans="1:35" ht="15.75" thickBot="1" x14ac:dyDescent="0.3">
      <c r="A71" s="3045"/>
      <c r="B71" s="909"/>
      <c r="C71" s="909"/>
      <c r="D71" s="910" t="s">
        <v>18</v>
      </c>
      <c r="E71" s="909"/>
      <c r="F71" s="911">
        <v>3990370.5333333327</v>
      </c>
      <c r="G71" s="911">
        <v>302914.8</v>
      </c>
      <c r="H71" s="909"/>
      <c r="I71" s="911">
        <v>1766800</v>
      </c>
      <c r="K71" s="3051"/>
      <c r="L71" s="912"/>
      <c r="M71" s="913"/>
      <c r="N71" s="914"/>
      <c r="O71" s="915"/>
      <c r="P71" s="909"/>
      <c r="Q71" s="916" t="s">
        <v>18</v>
      </c>
      <c r="R71" s="917"/>
      <c r="S71" s="918">
        <f t="shared" ref="S71:Y71" si="9">SUM(S48:S70)</f>
        <v>9111331.9333333336</v>
      </c>
      <c r="T71" s="919">
        <f t="shared" si="9"/>
        <v>483431.39999999997</v>
      </c>
      <c r="U71" s="920">
        <f t="shared" si="9"/>
        <v>202.5</v>
      </c>
      <c r="V71" s="919">
        <f t="shared" si="9"/>
        <v>6826098.4199999999</v>
      </c>
      <c r="W71" s="919">
        <f t="shared" si="9"/>
        <v>450154.39199999999</v>
      </c>
      <c r="X71" s="919">
        <f t="shared" si="9"/>
        <v>3543573.5333333332</v>
      </c>
      <c r="Y71" s="919">
        <f t="shared" si="9"/>
        <v>3282524.8866666667</v>
      </c>
      <c r="Z71" s="1499"/>
      <c r="AA71" s="921">
        <f t="shared" ref="AA71:AI71" si="10">SUM(AA48:AA70)</f>
        <v>416</v>
      </c>
      <c r="AB71" s="918" t="e">
        <f t="shared" si="10"/>
        <v>#VALUE!</v>
      </c>
      <c r="AC71" s="918">
        <f t="shared" si="10"/>
        <v>20698577.852173913</v>
      </c>
      <c r="AD71" s="919">
        <f t="shared" si="10"/>
        <v>1114181.3739130434</v>
      </c>
      <c r="AE71" s="921" t="e">
        <f t="shared" si="10"/>
        <v>#VALUE!</v>
      </c>
      <c r="AF71" s="918" t="e">
        <f t="shared" si="10"/>
        <v>#VALUE!</v>
      </c>
      <c r="AG71" s="922" t="e">
        <f t="shared" si="10"/>
        <v>#VALUE!</v>
      </c>
      <c r="AH71" s="923">
        <f t="shared" si="10"/>
        <v>1766800</v>
      </c>
      <c r="AI71" s="919">
        <f t="shared" si="10"/>
        <v>1202480</v>
      </c>
    </row>
    <row r="72" spans="1:35" ht="14.25" customHeight="1" x14ac:dyDescent="0.2">
      <c r="A72" s="3070" t="s">
        <v>22</v>
      </c>
      <c r="B72" s="924" t="s">
        <v>55</v>
      </c>
      <c r="C72" s="924">
        <v>1</v>
      </c>
      <c r="D72" s="925" t="s">
        <v>415</v>
      </c>
      <c r="E72" s="925">
        <v>2</v>
      </c>
      <c r="F72" s="926">
        <v>495064</v>
      </c>
      <c r="G72" s="926">
        <v>0</v>
      </c>
      <c r="H72" s="925">
        <v>0</v>
      </c>
      <c r="I72" s="926">
        <v>0</v>
      </c>
      <c r="K72" s="3073" t="s">
        <v>22</v>
      </c>
      <c r="L72" s="927"/>
      <c r="M72" s="928"/>
      <c r="N72" s="929"/>
      <c r="O72" s="930" t="s">
        <v>55</v>
      </c>
      <c r="P72" s="924">
        <v>1</v>
      </c>
      <c r="Q72" s="931" t="s">
        <v>415</v>
      </c>
      <c r="R72" s="932">
        <v>2</v>
      </c>
      <c r="S72" s="933">
        <v>495064</v>
      </c>
      <c r="T72" s="934">
        <v>0</v>
      </c>
      <c r="U72" s="935">
        <v>1</v>
      </c>
      <c r="V72" s="936">
        <f>S72/R72*U72</f>
        <v>247532</v>
      </c>
      <c r="W72" s="937">
        <f>T72/R72*U72</f>
        <v>0</v>
      </c>
      <c r="X72" s="936">
        <f>V72</f>
        <v>247532</v>
      </c>
      <c r="Y72" s="936"/>
      <c r="Z72" s="936"/>
      <c r="AA72" s="938">
        <v>3</v>
      </c>
      <c r="AB72" s="939">
        <v>0</v>
      </c>
      <c r="AC72" s="940">
        <v>540170</v>
      </c>
      <c r="AD72" s="941">
        <v>0</v>
      </c>
      <c r="AE72" s="942">
        <v>0</v>
      </c>
      <c r="AF72" s="943">
        <v>0</v>
      </c>
      <c r="AG72" s="944">
        <v>0</v>
      </c>
      <c r="AH72" s="945">
        <v>0</v>
      </c>
      <c r="AI72" s="934"/>
    </row>
    <row r="73" spans="1:35" ht="14.25" customHeight="1" x14ac:dyDescent="0.2">
      <c r="A73" s="3071"/>
      <c r="B73" s="946"/>
      <c r="C73" s="946"/>
      <c r="D73" s="947"/>
      <c r="E73" s="947"/>
      <c r="F73" s="948"/>
      <c r="G73" s="948"/>
      <c r="H73" s="947"/>
      <c r="I73" s="948"/>
      <c r="K73" s="3074"/>
      <c r="L73" s="949"/>
      <c r="M73" s="950"/>
      <c r="N73" s="951"/>
      <c r="O73" s="952"/>
      <c r="P73" s="946">
        <v>2</v>
      </c>
      <c r="Q73" s="953" t="s">
        <v>397</v>
      </c>
      <c r="R73" s="954">
        <v>15</v>
      </c>
      <c r="S73" s="46">
        <v>302168</v>
      </c>
      <c r="T73" s="955"/>
      <c r="U73" s="956">
        <v>15</v>
      </c>
      <c r="V73" s="957">
        <f>S73/R73*U73</f>
        <v>302168</v>
      </c>
      <c r="W73" s="958">
        <f>T73/R73*U73</f>
        <v>0</v>
      </c>
      <c r="X73" s="957"/>
      <c r="Y73" s="957">
        <f>V73</f>
        <v>302168</v>
      </c>
      <c r="Z73" s="957"/>
      <c r="AA73" s="959">
        <v>25</v>
      </c>
      <c r="AB73" s="960"/>
      <c r="AC73" s="961">
        <v>302168</v>
      </c>
      <c r="AD73" s="962"/>
      <c r="AE73" s="963"/>
      <c r="AF73" s="964"/>
      <c r="AG73" s="965"/>
      <c r="AH73" s="966"/>
      <c r="AI73" s="955"/>
    </row>
    <row r="74" spans="1:35" ht="14.25" customHeight="1" x14ac:dyDescent="0.2">
      <c r="A74" s="3071"/>
      <c r="B74" s="946"/>
      <c r="C74" s="946"/>
      <c r="D74" s="947"/>
      <c r="E74" s="947"/>
      <c r="F74" s="948"/>
      <c r="G74" s="948"/>
      <c r="H74" s="947"/>
      <c r="I74" s="948"/>
      <c r="K74" s="3074"/>
      <c r="L74" s="949"/>
      <c r="M74" s="950"/>
      <c r="N74" s="951"/>
      <c r="O74" s="952"/>
      <c r="P74" s="946"/>
      <c r="Q74" s="953" t="s">
        <v>600</v>
      </c>
      <c r="R74" s="967"/>
      <c r="S74" s="968"/>
      <c r="T74" s="955"/>
      <c r="U74" s="956"/>
      <c r="V74" s="957"/>
      <c r="W74" s="958"/>
      <c r="X74" s="957"/>
      <c r="Y74" s="957">
        <f>V74</f>
        <v>0</v>
      </c>
      <c r="Z74" s="957"/>
      <c r="AA74" s="959"/>
      <c r="AB74" s="960"/>
      <c r="AC74" s="961">
        <v>16700</v>
      </c>
      <c r="AD74" s="962"/>
      <c r="AE74" s="963"/>
      <c r="AF74" s="964"/>
      <c r="AG74" s="965"/>
      <c r="AH74" s="966"/>
      <c r="AI74" s="955"/>
    </row>
    <row r="75" spans="1:35" ht="14.25" customHeight="1" x14ac:dyDescent="0.2">
      <c r="A75" s="3071"/>
      <c r="B75" s="946"/>
      <c r="C75" s="946"/>
      <c r="D75" s="947"/>
      <c r="E75" s="947"/>
      <c r="F75" s="948"/>
      <c r="G75" s="948"/>
      <c r="H75" s="947"/>
      <c r="I75" s="948"/>
      <c r="K75" s="3074"/>
      <c r="L75" s="949"/>
      <c r="M75" s="950"/>
      <c r="N75" s="951"/>
      <c r="O75" s="952"/>
      <c r="P75" s="946">
        <v>3</v>
      </c>
      <c r="Q75" s="953" t="s">
        <v>62</v>
      </c>
      <c r="R75" s="969">
        <v>6</v>
      </c>
      <c r="S75" s="46">
        <v>196000</v>
      </c>
      <c r="T75" s="955"/>
      <c r="U75" s="956">
        <v>5</v>
      </c>
      <c r="V75" s="957">
        <f>S75/R75*U75</f>
        <v>163333.33333333334</v>
      </c>
      <c r="W75" s="958">
        <f>T75/R75*U75</f>
        <v>0</v>
      </c>
      <c r="X75" s="957"/>
      <c r="Y75" s="957">
        <f>V75</f>
        <v>163333.33333333334</v>
      </c>
      <c r="Z75" s="957"/>
      <c r="AA75" s="959">
        <v>6</v>
      </c>
      <c r="AB75" s="960"/>
      <c r="AC75" s="961">
        <v>221080</v>
      </c>
      <c r="AD75" s="962"/>
      <c r="AE75" s="963"/>
      <c r="AF75" s="964"/>
      <c r="AG75" s="965"/>
      <c r="AH75" s="966"/>
      <c r="AI75" s="955"/>
    </row>
    <row r="76" spans="1:35" ht="14.25" customHeight="1" x14ac:dyDescent="0.2">
      <c r="A76" s="3071"/>
      <c r="B76" s="946"/>
      <c r="C76" s="946"/>
      <c r="D76" s="947"/>
      <c r="E76" s="947"/>
      <c r="F76" s="948"/>
      <c r="G76" s="948"/>
      <c r="H76" s="947"/>
      <c r="I76" s="948"/>
      <c r="K76" s="3074"/>
      <c r="L76" s="949"/>
      <c r="M76" s="950"/>
      <c r="N76" s="951"/>
      <c r="O76" s="952"/>
      <c r="P76" s="946">
        <v>4</v>
      </c>
      <c r="Q76" s="953" t="s">
        <v>63</v>
      </c>
      <c r="R76" s="969">
        <v>0.6</v>
      </c>
      <c r="S76" s="46">
        <v>104652</v>
      </c>
      <c r="T76" s="955">
        <v>18468</v>
      </c>
      <c r="U76" s="956">
        <v>0.6</v>
      </c>
      <c r="V76" s="957">
        <f>S76/R76*U76/12*4</f>
        <v>34884</v>
      </c>
      <c r="W76" s="958">
        <f>T76/R76*U76</f>
        <v>18468</v>
      </c>
      <c r="X76" s="957"/>
      <c r="Y76" s="957">
        <f>V76</f>
        <v>34884</v>
      </c>
      <c r="Z76" s="957"/>
      <c r="AA76" s="959">
        <v>0.6</v>
      </c>
      <c r="AB76" s="960"/>
      <c r="AC76" s="961">
        <v>169252</v>
      </c>
      <c r="AD76" s="962">
        <v>29868</v>
      </c>
      <c r="AE76" s="963"/>
      <c r="AF76" s="964"/>
      <c r="AG76" s="965"/>
      <c r="AH76" s="966"/>
      <c r="AI76" s="955">
        <v>225000</v>
      </c>
    </row>
    <row r="77" spans="1:35" ht="15" customHeight="1" x14ac:dyDescent="0.2">
      <c r="A77" s="3071"/>
      <c r="B77" s="970"/>
      <c r="C77" s="970">
        <v>9</v>
      </c>
      <c r="D77" s="971" t="s">
        <v>456</v>
      </c>
      <c r="E77" s="971">
        <v>0.5</v>
      </c>
      <c r="F77" s="972">
        <v>74290</v>
      </c>
      <c r="G77" s="972">
        <v>13110</v>
      </c>
      <c r="H77" s="971">
        <v>2</v>
      </c>
      <c r="I77" s="972">
        <v>349600</v>
      </c>
      <c r="K77" s="3074"/>
      <c r="L77" s="973"/>
      <c r="M77" s="974"/>
      <c r="N77" s="975"/>
      <c r="O77" s="976"/>
      <c r="P77" s="970"/>
      <c r="Q77" s="977" t="s">
        <v>723</v>
      </c>
      <c r="R77" s="978"/>
      <c r="S77" s="979"/>
      <c r="T77" s="980"/>
      <c r="U77" s="981"/>
      <c r="V77" s="982"/>
      <c r="W77" s="983"/>
      <c r="X77" s="982"/>
      <c r="Y77" s="957">
        <f>V77</f>
        <v>0</v>
      </c>
      <c r="Z77" s="982"/>
      <c r="AA77" s="984"/>
      <c r="AB77" s="985"/>
      <c r="AC77" s="986">
        <v>166700</v>
      </c>
      <c r="AD77" s="987"/>
      <c r="AE77" s="988"/>
      <c r="AF77" s="989"/>
      <c r="AG77" s="990"/>
      <c r="AH77" s="991"/>
      <c r="AI77" s="980"/>
    </row>
    <row r="78" spans="1:35" ht="14.25" customHeight="1" x14ac:dyDescent="0.2">
      <c r="A78" s="3071"/>
      <c r="B78" s="3076" t="s">
        <v>26</v>
      </c>
      <c r="C78" s="992">
        <v>5</v>
      </c>
      <c r="D78" s="971" t="s">
        <v>65</v>
      </c>
      <c r="E78" s="971">
        <v>1</v>
      </c>
      <c r="F78" s="972">
        <v>161564.6</v>
      </c>
      <c r="G78" s="972">
        <v>28511.4</v>
      </c>
      <c r="H78" s="971">
        <v>0</v>
      </c>
      <c r="I78" s="972">
        <v>0</v>
      </c>
      <c r="K78" s="3074"/>
      <c r="L78" s="973"/>
      <c r="M78" s="974"/>
      <c r="N78" s="975"/>
      <c r="O78" s="3078" t="s">
        <v>26</v>
      </c>
      <c r="P78" s="992">
        <v>5</v>
      </c>
      <c r="Q78" s="977" t="s">
        <v>65</v>
      </c>
      <c r="R78" s="978">
        <v>1</v>
      </c>
      <c r="S78" s="979">
        <v>161564.6</v>
      </c>
      <c r="T78" s="980">
        <v>28511.4</v>
      </c>
      <c r="U78" s="981">
        <v>1</v>
      </c>
      <c r="V78" s="982">
        <f>S78/R78*U78</f>
        <v>161564.6</v>
      </c>
      <c r="W78" s="983">
        <f>T78/R78*U78</f>
        <v>28511.4</v>
      </c>
      <c r="X78" s="982">
        <f>V78</f>
        <v>161564.6</v>
      </c>
      <c r="Y78" s="982"/>
      <c r="Z78" s="982"/>
      <c r="AA78" s="984">
        <v>1</v>
      </c>
      <c r="AB78" s="985">
        <v>0</v>
      </c>
      <c r="AC78" s="986">
        <v>179562.5</v>
      </c>
      <c r="AD78" s="987">
        <v>31687.499999999996</v>
      </c>
      <c r="AE78" s="988">
        <v>0</v>
      </c>
      <c r="AF78" s="989">
        <v>0</v>
      </c>
      <c r="AG78" s="990">
        <v>0</v>
      </c>
      <c r="AH78" s="991">
        <v>0</v>
      </c>
      <c r="AI78" s="980"/>
    </row>
    <row r="79" spans="1:35" ht="14.25" customHeight="1" x14ac:dyDescent="0.2">
      <c r="A79" s="3071"/>
      <c r="B79" s="3077"/>
      <c r="C79" s="992">
        <v>6</v>
      </c>
      <c r="D79" s="971" t="s">
        <v>444</v>
      </c>
      <c r="E79" s="971">
        <v>1</v>
      </c>
      <c r="F79" s="972">
        <v>100000</v>
      </c>
      <c r="G79" s="972">
        <v>0</v>
      </c>
      <c r="H79" s="971">
        <v>0</v>
      </c>
      <c r="I79" s="972">
        <v>0</v>
      </c>
      <c r="K79" s="3074"/>
      <c r="L79" s="973"/>
      <c r="M79" s="974"/>
      <c r="N79" s="975"/>
      <c r="O79" s="3079"/>
      <c r="P79" s="992">
        <v>6</v>
      </c>
      <c r="Q79" s="977" t="s">
        <v>444</v>
      </c>
      <c r="R79" s="978">
        <v>1</v>
      </c>
      <c r="S79" s="979">
        <v>100000</v>
      </c>
      <c r="T79" s="980">
        <v>0</v>
      </c>
      <c r="U79" s="981">
        <v>1</v>
      </c>
      <c r="V79" s="982">
        <f>S79/R79*U79</f>
        <v>100000</v>
      </c>
      <c r="W79" s="983">
        <f>T79/R79*U79</f>
        <v>0</v>
      </c>
      <c r="X79" s="982">
        <f>V79</f>
        <v>100000</v>
      </c>
      <c r="Y79" s="982"/>
      <c r="Z79" s="982"/>
      <c r="AA79" s="984">
        <v>0</v>
      </c>
      <c r="AB79" s="985">
        <v>0</v>
      </c>
      <c r="AC79" s="986">
        <v>100000.16</v>
      </c>
      <c r="AD79" s="987">
        <v>0</v>
      </c>
      <c r="AE79" s="988">
        <v>0</v>
      </c>
      <c r="AF79" s="989">
        <v>0</v>
      </c>
      <c r="AG79" s="990">
        <v>0</v>
      </c>
      <c r="AH79" s="991">
        <v>0</v>
      </c>
      <c r="AI79" s="980"/>
    </row>
    <row r="80" spans="1:35" ht="14.25" customHeight="1" x14ac:dyDescent="0.2">
      <c r="A80" s="3071"/>
      <c r="B80" s="992"/>
      <c r="C80" s="992"/>
      <c r="D80" s="971"/>
      <c r="E80" s="971"/>
      <c r="F80" s="972"/>
      <c r="G80" s="972"/>
      <c r="H80" s="971"/>
      <c r="I80" s="972"/>
      <c r="K80" s="3074"/>
      <c r="L80" s="973"/>
      <c r="M80" s="974"/>
      <c r="N80" s="975"/>
      <c r="O80" s="993"/>
      <c r="P80" s="992">
        <v>7</v>
      </c>
      <c r="Q80" s="994" t="s">
        <v>448</v>
      </c>
      <c r="R80" s="978">
        <v>1</v>
      </c>
      <c r="S80" s="46">
        <v>162210.6</v>
      </c>
      <c r="T80" s="980">
        <v>28625.4</v>
      </c>
      <c r="U80" s="981">
        <v>0</v>
      </c>
      <c r="V80" s="982">
        <f>S80/R80*U80</f>
        <v>0</v>
      </c>
      <c r="W80" s="983">
        <f>T80/R80*U80</f>
        <v>0</v>
      </c>
      <c r="X80" s="982">
        <f>V80</f>
        <v>0</v>
      </c>
      <c r="Y80" s="982"/>
      <c r="Z80" s="982"/>
      <c r="AA80" s="984">
        <v>1</v>
      </c>
      <c r="AB80" s="985"/>
      <c r="AC80" s="986">
        <v>185160</v>
      </c>
      <c r="AD80" s="987">
        <v>28440</v>
      </c>
      <c r="AE80" s="988"/>
      <c r="AF80" s="989"/>
      <c r="AG80" s="990"/>
      <c r="AH80" s="991"/>
      <c r="AI80" s="868">
        <v>121374.6</v>
      </c>
    </row>
    <row r="81" spans="1:35" ht="14.25" customHeight="1" x14ac:dyDescent="0.2">
      <c r="A81" s="3071"/>
      <c r="B81" s="992" t="s">
        <v>29</v>
      </c>
      <c r="C81" s="992">
        <v>8</v>
      </c>
      <c r="D81" s="971" t="s">
        <v>5</v>
      </c>
      <c r="E81" s="971">
        <v>1</v>
      </c>
      <c r="F81" s="972">
        <v>271510</v>
      </c>
      <c r="G81" s="972">
        <v>0</v>
      </c>
      <c r="H81" s="971">
        <v>0</v>
      </c>
      <c r="I81" s="972">
        <v>0</v>
      </c>
      <c r="K81" s="3074"/>
      <c r="L81" s="973"/>
      <c r="M81" s="974"/>
      <c r="N81" s="975"/>
      <c r="O81" s="993" t="s">
        <v>29</v>
      </c>
      <c r="P81" s="992">
        <v>8</v>
      </c>
      <c r="Q81" s="977" t="s">
        <v>5</v>
      </c>
      <c r="R81" s="978">
        <v>1</v>
      </c>
      <c r="S81" s="979">
        <v>271510</v>
      </c>
      <c r="T81" s="980">
        <v>0</v>
      </c>
      <c r="U81" s="981">
        <v>1</v>
      </c>
      <c r="V81" s="982">
        <f>S81/R81*U81</f>
        <v>271510</v>
      </c>
      <c r="W81" s="983">
        <f>T81/R81*U81</f>
        <v>0</v>
      </c>
      <c r="X81" s="982">
        <f>V81</f>
        <v>271510</v>
      </c>
      <c r="Y81" s="982"/>
      <c r="Z81" s="982"/>
      <c r="AA81" s="984">
        <v>1</v>
      </c>
      <c r="AB81" s="985">
        <v>0</v>
      </c>
      <c r="AC81" s="986">
        <v>180500</v>
      </c>
      <c r="AD81" s="987">
        <v>0</v>
      </c>
      <c r="AE81" s="988">
        <v>0</v>
      </c>
      <c r="AF81" s="989">
        <v>0</v>
      </c>
      <c r="AG81" s="990">
        <v>0</v>
      </c>
      <c r="AH81" s="991">
        <v>0</v>
      </c>
      <c r="AI81" s="980"/>
    </row>
    <row r="82" spans="1:35" ht="15" customHeight="1" x14ac:dyDescent="0.2">
      <c r="A82" s="3071"/>
      <c r="B82" s="970"/>
      <c r="C82" s="970">
        <v>9</v>
      </c>
      <c r="D82" s="971" t="s">
        <v>456</v>
      </c>
      <c r="E82" s="971">
        <v>0.5</v>
      </c>
      <c r="F82" s="972">
        <v>74290</v>
      </c>
      <c r="G82" s="972">
        <v>13110</v>
      </c>
      <c r="H82" s="971">
        <v>2</v>
      </c>
      <c r="I82" s="972">
        <v>349600</v>
      </c>
      <c r="K82" s="3074"/>
      <c r="L82" s="995"/>
      <c r="M82" s="996"/>
      <c r="N82" s="997"/>
      <c r="O82" s="976"/>
      <c r="P82" s="970">
        <v>9</v>
      </c>
      <c r="Q82" s="977" t="s">
        <v>456</v>
      </c>
      <c r="R82" s="978">
        <v>0.5</v>
      </c>
      <c r="S82" s="979">
        <v>74290</v>
      </c>
      <c r="T82" s="980">
        <v>13110</v>
      </c>
      <c r="U82" s="981">
        <v>1</v>
      </c>
      <c r="V82" s="982">
        <f>S82</f>
        <v>74290</v>
      </c>
      <c r="W82" s="982">
        <f>T82</f>
        <v>13110</v>
      </c>
      <c r="X82" s="982">
        <f>V82</f>
        <v>74290</v>
      </c>
      <c r="Y82" s="982"/>
      <c r="Z82" s="982"/>
      <c r="AA82" s="984">
        <v>1.5</v>
      </c>
      <c r="AB82" s="985">
        <v>0</v>
      </c>
      <c r="AC82" s="986">
        <v>265200</v>
      </c>
      <c r="AD82" s="987">
        <v>46800</v>
      </c>
      <c r="AE82" s="988">
        <v>0</v>
      </c>
      <c r="AF82" s="989">
        <v>2</v>
      </c>
      <c r="AG82" s="990">
        <v>0</v>
      </c>
      <c r="AH82" s="991">
        <v>349600</v>
      </c>
      <c r="AI82" s="980"/>
    </row>
    <row r="83" spans="1:35" ht="14.25" customHeight="1" x14ac:dyDescent="0.2">
      <c r="A83" s="3071"/>
      <c r="B83" s="998"/>
      <c r="C83" s="998"/>
      <c r="D83" s="999"/>
      <c r="E83" s="999"/>
      <c r="F83" s="1000"/>
      <c r="G83" s="1000"/>
      <c r="H83" s="999"/>
      <c r="I83" s="1000"/>
      <c r="K83" s="3074"/>
      <c r="L83" s="995"/>
      <c r="M83" s="996"/>
      <c r="N83" s="997"/>
      <c r="O83" s="1001"/>
      <c r="P83" s="992">
        <v>17</v>
      </c>
      <c r="Q83" s="1002" t="s">
        <v>43</v>
      </c>
      <c r="R83" s="1003"/>
      <c r="S83" s="1004"/>
      <c r="T83" s="1005"/>
      <c r="U83" s="1006"/>
      <c r="V83" s="1007"/>
      <c r="W83" s="1008"/>
      <c r="X83" s="1007"/>
      <c r="Y83" s="1007"/>
      <c r="Z83" s="1007"/>
      <c r="AA83" s="1009">
        <v>0</v>
      </c>
      <c r="AB83" s="1010">
        <v>0</v>
      </c>
      <c r="AC83" s="1011">
        <v>102600</v>
      </c>
      <c r="AD83" s="1012">
        <v>0</v>
      </c>
      <c r="AE83" s="1013">
        <v>0</v>
      </c>
      <c r="AF83" s="1014">
        <v>0</v>
      </c>
      <c r="AG83" s="1015">
        <v>0</v>
      </c>
      <c r="AH83" s="1016"/>
      <c r="AI83" s="1005"/>
    </row>
    <row r="84" spans="1:35" ht="14.25" customHeight="1" x14ac:dyDescent="0.2">
      <c r="A84" s="3071"/>
      <c r="B84" s="998"/>
      <c r="C84" s="998"/>
      <c r="D84" s="999"/>
      <c r="E84" s="999"/>
      <c r="F84" s="1000"/>
      <c r="G84" s="1000"/>
      <c r="H84" s="999"/>
      <c r="I84" s="1000"/>
      <c r="K84" s="3074"/>
      <c r="L84" s="995"/>
      <c r="M84" s="996"/>
      <c r="N84" s="997"/>
      <c r="O84" s="1001"/>
      <c r="P84" s="998"/>
      <c r="Q84" s="994" t="s">
        <v>60</v>
      </c>
      <c r="R84" s="1003"/>
      <c r="S84" s="1004"/>
      <c r="T84" s="1005"/>
      <c r="U84" s="1006"/>
      <c r="V84" s="1007"/>
      <c r="W84" s="1008"/>
      <c r="X84" s="1007"/>
      <c r="Y84" s="1007"/>
      <c r="Z84" s="1007"/>
      <c r="AA84" s="1009"/>
      <c r="AB84" s="1010"/>
      <c r="AC84" s="1011"/>
      <c r="AD84" s="1012"/>
      <c r="AE84" s="1013"/>
      <c r="AF84" s="1014"/>
      <c r="AG84" s="1015"/>
      <c r="AH84" s="1016"/>
      <c r="AI84" s="1005">
        <v>200000</v>
      </c>
    </row>
    <row r="85" spans="1:35" ht="15.75" thickBot="1" x14ac:dyDescent="0.3">
      <c r="A85" s="3072"/>
      <c r="B85" s="1017"/>
      <c r="C85" s="1017"/>
      <c r="D85" s="1018" t="s">
        <v>24</v>
      </c>
      <c r="E85" s="1017"/>
      <c r="F85" s="1019">
        <v>1102428.6000000001</v>
      </c>
      <c r="G85" s="1019">
        <v>41621.4</v>
      </c>
      <c r="H85" s="1017"/>
      <c r="I85" s="1019">
        <v>349600</v>
      </c>
      <c r="K85" s="3075"/>
      <c r="L85" s="1020"/>
      <c r="M85" s="1021"/>
      <c r="N85" s="1022"/>
      <c r="O85" s="1023"/>
      <c r="P85" s="1017"/>
      <c r="Q85" s="1024" t="s">
        <v>24</v>
      </c>
      <c r="R85" s="1025"/>
      <c r="S85" s="1026">
        <f t="shared" ref="S85:Y85" si="11">SUM(S72:S84)</f>
        <v>1867459.2000000002</v>
      </c>
      <c r="T85" s="1027">
        <f t="shared" si="11"/>
        <v>88714.8</v>
      </c>
      <c r="U85" s="1028">
        <f t="shared" si="11"/>
        <v>25.6</v>
      </c>
      <c r="V85" s="1027">
        <f t="shared" si="11"/>
        <v>1355281.9333333333</v>
      </c>
      <c r="W85" s="1027">
        <f t="shared" si="11"/>
        <v>60089.4</v>
      </c>
      <c r="X85" s="1027">
        <f t="shared" si="11"/>
        <v>854896.6</v>
      </c>
      <c r="Y85" s="1027">
        <f t="shared" si="11"/>
        <v>500385.33333333337</v>
      </c>
      <c r="Z85" s="1500"/>
      <c r="AA85" s="1029"/>
      <c r="AB85" s="1026">
        <f t="shared" ref="AB85:AI85" si="12">SUM(AB72:AB84)</f>
        <v>0</v>
      </c>
      <c r="AC85" s="1026">
        <f t="shared" si="12"/>
        <v>2429092.66</v>
      </c>
      <c r="AD85" s="1027">
        <f t="shared" si="12"/>
        <v>136795.5</v>
      </c>
      <c r="AE85" s="1029">
        <f t="shared" si="12"/>
        <v>0</v>
      </c>
      <c r="AF85" s="1026">
        <f t="shared" si="12"/>
        <v>2</v>
      </c>
      <c r="AG85" s="1030">
        <f t="shared" si="12"/>
        <v>0</v>
      </c>
      <c r="AH85" s="1031">
        <f t="shared" si="12"/>
        <v>349600</v>
      </c>
      <c r="AI85" s="1027">
        <f t="shared" si="12"/>
        <v>546374.6</v>
      </c>
    </row>
    <row r="86" spans="1:35" ht="14.25" customHeight="1" x14ac:dyDescent="0.2">
      <c r="A86" s="3080" t="s">
        <v>23</v>
      </c>
      <c r="B86" s="1032" t="s">
        <v>55</v>
      </c>
      <c r="C86" s="1032">
        <v>1</v>
      </c>
      <c r="D86" s="1033" t="s">
        <v>415</v>
      </c>
      <c r="E86" s="1033">
        <v>2</v>
      </c>
      <c r="F86" s="1034">
        <v>495064</v>
      </c>
      <c r="G86" s="1034">
        <v>0</v>
      </c>
      <c r="H86" s="1033">
        <v>0</v>
      </c>
      <c r="I86" s="1034">
        <v>0</v>
      </c>
      <c r="K86" s="3082" t="s">
        <v>23</v>
      </c>
      <c r="L86" s="1035"/>
      <c r="M86" s="1036"/>
      <c r="N86" s="1037"/>
      <c r="O86" s="1038" t="s">
        <v>55</v>
      </c>
      <c r="P86" s="1032">
        <v>1</v>
      </c>
      <c r="Q86" s="1039" t="s">
        <v>415</v>
      </c>
      <c r="R86" s="1040">
        <v>2</v>
      </c>
      <c r="S86" s="1041">
        <v>495064</v>
      </c>
      <c r="T86" s="1042">
        <v>0</v>
      </c>
      <c r="U86" s="1043">
        <v>1</v>
      </c>
      <c r="V86" s="1044">
        <f>S86/R86*U86</f>
        <v>247532</v>
      </c>
      <c r="W86" s="1045">
        <f>T86/R86*U86</f>
        <v>0</v>
      </c>
      <c r="X86" s="1044">
        <f>V86</f>
        <v>247532</v>
      </c>
      <c r="Y86" s="1044"/>
      <c r="Z86" s="1044"/>
      <c r="AA86" s="1046">
        <v>1</v>
      </c>
      <c r="AB86" s="1047">
        <v>0</v>
      </c>
      <c r="AC86" s="1047">
        <v>218652</v>
      </c>
      <c r="AD86" s="1048">
        <v>0</v>
      </c>
      <c r="AE86" s="1049">
        <v>0</v>
      </c>
      <c r="AF86" s="1050">
        <v>0</v>
      </c>
      <c r="AG86" s="1051">
        <v>0</v>
      </c>
      <c r="AH86" s="1052">
        <v>0</v>
      </c>
      <c r="AI86" s="1042"/>
    </row>
    <row r="87" spans="1:35" ht="14.25" customHeight="1" x14ac:dyDescent="0.2">
      <c r="A87" s="3081"/>
      <c r="B87" s="1053"/>
      <c r="C87" s="1053">
        <v>9</v>
      </c>
      <c r="D87" s="1054" t="s">
        <v>64</v>
      </c>
      <c r="E87" s="1054">
        <v>0.5</v>
      </c>
      <c r="F87" s="1055">
        <v>62985</v>
      </c>
      <c r="G87" s="1055">
        <v>11115</v>
      </c>
      <c r="H87" s="1054">
        <v>1</v>
      </c>
      <c r="I87" s="1055">
        <v>148200</v>
      </c>
      <c r="K87" s="3083"/>
      <c r="L87" s="1056"/>
      <c r="M87" s="1057"/>
      <c r="N87" s="1058"/>
      <c r="O87" s="1059"/>
      <c r="P87" s="1053">
        <v>2</v>
      </c>
      <c r="Q87" s="1060" t="s">
        <v>397</v>
      </c>
      <c r="R87" s="1061">
        <v>11</v>
      </c>
      <c r="S87" s="1062">
        <v>247141</v>
      </c>
      <c r="T87" s="1063"/>
      <c r="U87" s="1064">
        <v>11</v>
      </c>
      <c r="V87" s="1065">
        <f>S87/R87*U87</f>
        <v>247141</v>
      </c>
      <c r="W87" s="1066">
        <f>T87/R87*U87</f>
        <v>0</v>
      </c>
      <c r="X87" s="1065"/>
      <c r="Y87" s="1065">
        <f>V87</f>
        <v>247141</v>
      </c>
      <c r="Z87" s="1065"/>
      <c r="AA87" s="1067">
        <v>11</v>
      </c>
      <c r="AB87" s="1068" t="e">
        <v>#VALUE!</v>
      </c>
      <c r="AC87" s="1068">
        <v>247141</v>
      </c>
      <c r="AD87" s="1069"/>
      <c r="AE87" s="1070" t="e">
        <v>#VALUE!</v>
      </c>
      <c r="AF87" s="1071">
        <v>1</v>
      </c>
      <c r="AG87" s="1072"/>
      <c r="AH87" s="1073"/>
      <c r="AI87" s="1063"/>
    </row>
    <row r="88" spans="1:35" ht="14.25" customHeight="1" x14ac:dyDescent="0.2">
      <c r="A88" s="3081"/>
      <c r="B88" s="1053"/>
      <c r="C88" s="1053"/>
      <c r="D88" s="1054"/>
      <c r="E88" s="1054"/>
      <c r="F88" s="1055"/>
      <c r="G88" s="1055"/>
      <c r="H88" s="1054"/>
      <c r="I88" s="1055"/>
      <c r="K88" s="3083"/>
      <c r="L88" s="1056"/>
      <c r="M88" s="1057"/>
      <c r="N88" s="1058"/>
      <c r="O88" s="1059"/>
      <c r="P88" s="1053"/>
      <c r="Q88" s="1060" t="s">
        <v>600</v>
      </c>
      <c r="R88" s="1061"/>
      <c r="S88" s="1062"/>
      <c r="T88" s="1063"/>
      <c r="U88" s="1064"/>
      <c r="V88" s="1065"/>
      <c r="W88" s="1066"/>
      <c r="X88" s="1065"/>
      <c r="Y88" s="1065">
        <f>V88</f>
        <v>0</v>
      </c>
      <c r="Z88" s="1065"/>
      <c r="AA88" s="1067">
        <v>1</v>
      </c>
      <c r="AB88" s="1068"/>
      <c r="AC88" s="1068">
        <v>16700</v>
      </c>
      <c r="AD88" s="1069"/>
      <c r="AE88" s="1070"/>
      <c r="AF88" s="1071"/>
      <c r="AG88" s="1072"/>
      <c r="AH88" s="1073"/>
      <c r="AI88" s="1063"/>
    </row>
    <row r="89" spans="1:35" ht="14.25" customHeight="1" x14ac:dyDescent="0.2">
      <c r="A89" s="3081"/>
      <c r="B89" s="1053"/>
      <c r="C89" s="1053"/>
      <c r="D89" s="1054"/>
      <c r="E89" s="1054"/>
      <c r="F89" s="1055"/>
      <c r="G89" s="1055"/>
      <c r="H89" s="1054"/>
      <c r="I89" s="1055"/>
      <c r="K89" s="3083"/>
      <c r="L89" s="1056"/>
      <c r="M89" s="1057"/>
      <c r="N89" s="1058"/>
      <c r="O89" s="1059"/>
      <c r="P89" s="1053">
        <v>3</v>
      </c>
      <c r="Q89" s="1060" t="s">
        <v>62</v>
      </c>
      <c r="R89" s="1061">
        <v>5</v>
      </c>
      <c r="S89" s="1062">
        <v>154200</v>
      </c>
      <c r="T89" s="1063"/>
      <c r="U89" s="1064">
        <v>5</v>
      </c>
      <c r="V89" s="1065">
        <f>S89/R89*U89</f>
        <v>154200</v>
      </c>
      <c r="W89" s="1066">
        <f>T89/R89*U89</f>
        <v>0</v>
      </c>
      <c r="X89" s="1065"/>
      <c r="Y89" s="1065">
        <f>V89</f>
        <v>154200</v>
      </c>
      <c r="Z89" s="1065"/>
      <c r="AA89" s="1067">
        <v>5</v>
      </c>
      <c r="AB89" s="1068"/>
      <c r="AC89" s="1068">
        <v>182700</v>
      </c>
      <c r="AD89" s="1069"/>
      <c r="AE89" s="1070"/>
      <c r="AF89" s="1071"/>
      <c r="AG89" s="1072"/>
      <c r="AH89" s="1073"/>
      <c r="AI89" s="1063"/>
    </row>
    <row r="90" spans="1:35" ht="14.25" customHeight="1" x14ac:dyDescent="0.2">
      <c r="A90" s="3081"/>
      <c r="B90" s="1053"/>
      <c r="C90" s="1053"/>
      <c r="D90" s="1054"/>
      <c r="E90" s="1054"/>
      <c r="F90" s="1055"/>
      <c r="G90" s="1055"/>
      <c r="H90" s="1054"/>
      <c r="I90" s="1055"/>
      <c r="K90" s="3083"/>
      <c r="L90" s="1056"/>
      <c r="M90" s="1057"/>
      <c r="N90" s="1058"/>
      <c r="O90" s="1059"/>
      <c r="P90" s="1053">
        <v>4</v>
      </c>
      <c r="Q90" s="1060" t="s">
        <v>63</v>
      </c>
      <c r="R90" s="1061"/>
      <c r="S90" s="1062">
        <v>103020</v>
      </c>
      <c r="T90" s="1063">
        <v>18180</v>
      </c>
      <c r="U90" s="1064"/>
      <c r="V90" s="1065"/>
      <c r="W90" s="1066"/>
      <c r="X90" s="1065"/>
      <c r="Y90" s="1065">
        <f>V90</f>
        <v>0</v>
      </c>
      <c r="Z90" s="1065"/>
      <c r="AA90" s="1067">
        <v>0.6</v>
      </c>
      <c r="AB90" s="1068"/>
      <c r="AC90" s="1068">
        <v>132600</v>
      </c>
      <c r="AD90" s="1069">
        <v>23400</v>
      </c>
      <c r="AE90" s="1070"/>
      <c r="AF90" s="1071"/>
      <c r="AG90" s="1072"/>
      <c r="AH90" s="1073"/>
      <c r="AI90" s="1074">
        <v>71820</v>
      </c>
    </row>
    <row r="91" spans="1:35" ht="14.25" customHeight="1" x14ac:dyDescent="0.2">
      <c r="A91" s="3081"/>
      <c r="B91" s="3085" t="s">
        <v>26</v>
      </c>
      <c r="C91" s="1053">
        <v>5</v>
      </c>
      <c r="D91" s="1054" t="s">
        <v>65</v>
      </c>
      <c r="E91" s="1054">
        <v>1</v>
      </c>
      <c r="F91" s="1055">
        <v>171254.6</v>
      </c>
      <c r="G91" s="1055">
        <v>30221.4</v>
      </c>
      <c r="H91" s="1054">
        <v>0</v>
      </c>
      <c r="I91" s="1055">
        <v>0</v>
      </c>
      <c r="K91" s="3083"/>
      <c r="L91" s="1056"/>
      <c r="M91" s="1057"/>
      <c r="N91" s="1058"/>
      <c r="O91" s="3087" t="s">
        <v>26</v>
      </c>
      <c r="P91" s="1053">
        <v>5</v>
      </c>
      <c r="Q91" s="1075" t="s">
        <v>65</v>
      </c>
      <c r="R91" s="1061">
        <v>1</v>
      </c>
      <c r="S91" s="1062">
        <v>171254.6</v>
      </c>
      <c r="T91" s="1063">
        <v>30221.4</v>
      </c>
      <c r="U91" s="1064">
        <v>1</v>
      </c>
      <c r="V91" s="1065">
        <f>S91/R91*U91</f>
        <v>171254.6</v>
      </c>
      <c r="W91" s="1066">
        <f>T91/R91*U91</f>
        <v>30221.4</v>
      </c>
      <c r="X91" s="1065">
        <f>V91</f>
        <v>171254.6</v>
      </c>
      <c r="Y91" s="1065"/>
      <c r="Z91" s="1065"/>
      <c r="AA91" s="1067">
        <v>1</v>
      </c>
      <c r="AB91" s="1068">
        <v>0</v>
      </c>
      <c r="AC91" s="1068">
        <v>234812.5</v>
      </c>
      <c r="AD91" s="1069">
        <v>41437.5</v>
      </c>
      <c r="AE91" s="1070">
        <v>0</v>
      </c>
      <c r="AF91" s="1071">
        <v>0</v>
      </c>
      <c r="AG91" s="1072">
        <v>0</v>
      </c>
      <c r="AH91" s="1073">
        <v>0</v>
      </c>
      <c r="AI91" s="1063"/>
    </row>
    <row r="92" spans="1:35" ht="14.25" customHeight="1" x14ac:dyDescent="0.2">
      <c r="A92" s="3081"/>
      <c r="B92" s="3086"/>
      <c r="C92" s="1053">
        <v>6</v>
      </c>
      <c r="D92" s="1054" t="s">
        <v>444</v>
      </c>
      <c r="E92" s="1054">
        <v>1</v>
      </c>
      <c r="F92" s="1055">
        <v>100000</v>
      </c>
      <c r="G92" s="1055">
        <v>0</v>
      </c>
      <c r="H92" s="1054">
        <v>0</v>
      </c>
      <c r="I92" s="1055">
        <v>0</v>
      </c>
      <c r="K92" s="3083"/>
      <c r="L92" s="1056"/>
      <c r="M92" s="1057"/>
      <c r="N92" s="1058"/>
      <c r="O92" s="3088"/>
      <c r="P92" s="1053">
        <v>6</v>
      </c>
      <c r="Q92" s="1075" t="s">
        <v>724</v>
      </c>
      <c r="R92" s="1061">
        <v>1</v>
      </c>
      <c r="S92" s="1062">
        <v>100000</v>
      </c>
      <c r="T92" s="1063">
        <v>0</v>
      </c>
      <c r="U92" s="1064">
        <v>1</v>
      </c>
      <c r="V92" s="1065">
        <f>S92/R92*U92</f>
        <v>100000</v>
      </c>
      <c r="W92" s="1066">
        <f>T92/R92*U92</f>
        <v>0</v>
      </c>
      <c r="X92" s="1065">
        <f>V92</f>
        <v>100000</v>
      </c>
      <c r="Y92" s="1065"/>
      <c r="Z92" s="1065"/>
      <c r="AA92" s="1067">
        <v>0</v>
      </c>
      <c r="AB92" s="1068">
        <v>0</v>
      </c>
      <c r="AC92" s="1068">
        <v>100000.16</v>
      </c>
      <c r="AD92" s="1069">
        <v>0</v>
      </c>
      <c r="AE92" s="1070">
        <v>0</v>
      </c>
      <c r="AF92" s="1071">
        <v>0</v>
      </c>
      <c r="AG92" s="1072">
        <v>0</v>
      </c>
      <c r="AH92" s="1073">
        <v>0</v>
      </c>
      <c r="AI92" s="1063"/>
    </row>
    <row r="93" spans="1:35" ht="14.25" customHeight="1" x14ac:dyDescent="0.2">
      <c r="A93" s="3081"/>
      <c r="B93" s="1053" t="s">
        <v>29</v>
      </c>
      <c r="C93" s="1053">
        <v>8</v>
      </c>
      <c r="D93" s="1054" t="s">
        <v>5</v>
      </c>
      <c r="E93" s="1054">
        <v>1</v>
      </c>
      <c r="F93" s="1055">
        <v>271510</v>
      </c>
      <c r="G93" s="1055">
        <v>0</v>
      </c>
      <c r="H93" s="1054">
        <v>0</v>
      </c>
      <c r="I93" s="1055">
        <v>0</v>
      </c>
      <c r="K93" s="3083"/>
      <c r="L93" s="1056"/>
      <c r="M93" s="1057"/>
      <c r="N93" s="1058"/>
      <c r="O93" s="1059" t="s">
        <v>29</v>
      </c>
      <c r="P93" s="1053">
        <v>8</v>
      </c>
      <c r="Q93" s="1075" t="s">
        <v>5</v>
      </c>
      <c r="R93" s="1061">
        <v>1</v>
      </c>
      <c r="S93" s="1062">
        <v>271510</v>
      </c>
      <c r="T93" s="1063">
        <v>0</v>
      </c>
      <c r="U93" s="1064">
        <v>1</v>
      </c>
      <c r="V93" s="1065">
        <f>S93/R93*U93</f>
        <v>271510</v>
      </c>
      <c r="W93" s="1066">
        <f>T93/R93*U93</f>
        <v>0</v>
      </c>
      <c r="X93" s="1065">
        <f>V93</f>
        <v>271510</v>
      </c>
      <c r="Y93" s="1065"/>
      <c r="Z93" s="1065"/>
      <c r="AA93" s="1067">
        <v>1</v>
      </c>
      <c r="AB93" s="1068">
        <v>0</v>
      </c>
      <c r="AC93" s="1068">
        <v>183350</v>
      </c>
      <c r="AD93" s="1069">
        <v>0</v>
      </c>
      <c r="AE93" s="1070">
        <v>0</v>
      </c>
      <c r="AF93" s="1071">
        <v>0</v>
      </c>
      <c r="AG93" s="1072">
        <v>0</v>
      </c>
      <c r="AH93" s="1073">
        <v>0</v>
      </c>
      <c r="AI93" s="1063"/>
    </row>
    <row r="94" spans="1:35" ht="14.25" customHeight="1" x14ac:dyDescent="0.2">
      <c r="A94" s="3081"/>
      <c r="B94" s="1053"/>
      <c r="C94" s="1053">
        <v>9</v>
      </c>
      <c r="D94" s="1054" t="s">
        <v>64</v>
      </c>
      <c r="E94" s="1054">
        <v>0.5</v>
      </c>
      <c r="F94" s="1055">
        <v>62985</v>
      </c>
      <c r="G94" s="1055">
        <v>11115</v>
      </c>
      <c r="H94" s="1054">
        <v>1</v>
      </c>
      <c r="I94" s="1055">
        <v>148200</v>
      </c>
      <c r="K94" s="3083"/>
      <c r="L94" s="1076"/>
      <c r="M94" s="1077"/>
      <c r="N94" s="1078"/>
      <c r="O94" s="1059"/>
      <c r="P94" s="1053">
        <v>9</v>
      </c>
      <c r="Q94" s="1075" t="s">
        <v>64</v>
      </c>
      <c r="R94" s="1061">
        <v>0.5</v>
      </c>
      <c r="S94" s="1062">
        <v>62985</v>
      </c>
      <c r="T94" s="1063">
        <v>11115</v>
      </c>
      <c r="U94" s="1064">
        <v>1</v>
      </c>
      <c r="V94" s="1065">
        <f>S94</f>
        <v>62985</v>
      </c>
      <c r="W94" s="1065">
        <f>T94</f>
        <v>11115</v>
      </c>
      <c r="X94" s="1065">
        <f>V94</f>
        <v>62985</v>
      </c>
      <c r="Y94" s="1065"/>
      <c r="Z94" s="1065"/>
      <c r="AA94" s="1067">
        <v>1.5</v>
      </c>
      <c r="AB94" s="1068" t="e">
        <v>#VALUE!</v>
      </c>
      <c r="AC94" s="1068">
        <v>249177.5</v>
      </c>
      <c r="AD94" s="1069">
        <v>43972.5</v>
      </c>
      <c r="AE94" s="1070" t="e">
        <v>#VALUE!</v>
      </c>
      <c r="AF94" s="1071">
        <v>1</v>
      </c>
      <c r="AG94" s="1072" t="e">
        <v>#VALUE!</v>
      </c>
      <c r="AH94" s="1073">
        <v>148200</v>
      </c>
      <c r="AI94" s="1063"/>
    </row>
    <row r="95" spans="1:35" ht="24.75" customHeight="1" x14ac:dyDescent="0.2">
      <c r="A95" s="3081"/>
      <c r="B95" s="1079"/>
      <c r="C95" s="1053">
        <v>17</v>
      </c>
      <c r="D95" s="1080" t="s">
        <v>43</v>
      </c>
      <c r="E95" s="1081"/>
      <c r="F95" s="1082"/>
      <c r="G95" s="1082"/>
      <c r="H95" s="1081"/>
      <c r="I95" s="1082"/>
      <c r="K95" s="3083"/>
      <c r="L95" s="1076"/>
      <c r="M95" s="1077"/>
      <c r="N95" s="1078"/>
      <c r="O95" s="1083"/>
      <c r="P95" s="1053">
        <v>17</v>
      </c>
      <c r="Q95" s="1084" t="s">
        <v>43</v>
      </c>
      <c r="R95" s="1085"/>
      <c r="S95" s="1086"/>
      <c r="T95" s="1074"/>
      <c r="U95" s="1087"/>
      <c r="V95" s="1088"/>
      <c r="W95" s="1089"/>
      <c r="X95" s="1088"/>
      <c r="Y95" s="1088"/>
      <c r="Z95" s="1088"/>
      <c r="AA95" s="1090">
        <v>0</v>
      </c>
      <c r="AB95" s="1091">
        <v>0</v>
      </c>
      <c r="AC95" s="1091">
        <v>102600</v>
      </c>
      <c r="AD95" s="1092">
        <v>0</v>
      </c>
      <c r="AE95" s="1093">
        <v>0</v>
      </c>
      <c r="AF95" s="1094">
        <v>0</v>
      </c>
      <c r="AG95" s="1095">
        <v>0</v>
      </c>
      <c r="AH95" s="1096"/>
      <c r="AI95" s="1074"/>
    </row>
    <row r="96" spans="1:35" x14ac:dyDescent="0.2">
      <c r="A96" s="3081"/>
      <c r="B96" s="1079"/>
      <c r="C96" s="1079"/>
      <c r="D96" s="1097"/>
      <c r="E96" s="1081"/>
      <c r="F96" s="1082"/>
      <c r="G96" s="1082"/>
      <c r="H96" s="1081"/>
      <c r="I96" s="1082"/>
      <c r="K96" s="3083"/>
      <c r="L96" s="1076"/>
      <c r="M96" s="1077"/>
      <c r="N96" s="1078"/>
      <c r="O96" s="1083"/>
      <c r="P96" s="1079"/>
      <c r="Q96" s="1060" t="s">
        <v>60</v>
      </c>
      <c r="R96" s="1085"/>
      <c r="S96" s="1086"/>
      <c r="T96" s="1074"/>
      <c r="U96" s="1087"/>
      <c r="V96" s="1088"/>
      <c r="W96" s="1089"/>
      <c r="X96" s="1088"/>
      <c r="Y96" s="1088"/>
      <c r="Z96" s="1088"/>
      <c r="AA96" s="1090"/>
      <c r="AB96" s="1091"/>
      <c r="AC96" s="1091"/>
      <c r="AD96" s="1092"/>
      <c r="AE96" s="1093"/>
      <c r="AF96" s="1094"/>
      <c r="AG96" s="1095"/>
      <c r="AH96" s="1096"/>
      <c r="AI96" s="1074">
        <v>20000</v>
      </c>
    </row>
    <row r="97" spans="1:35" ht="15.75" thickBot="1" x14ac:dyDescent="0.3">
      <c r="A97" s="3081"/>
      <c r="B97" s="1098"/>
      <c r="C97" s="1098"/>
      <c r="D97" s="1099" t="s">
        <v>25</v>
      </c>
      <c r="E97" s="1098"/>
      <c r="F97" s="1100">
        <v>1100813.6000000001</v>
      </c>
      <c r="G97" s="1100">
        <v>41336.400000000001</v>
      </c>
      <c r="H97" s="1098"/>
      <c r="I97" s="1100">
        <v>148200</v>
      </c>
      <c r="K97" s="3084"/>
      <c r="L97" s="1101"/>
      <c r="M97" s="1102"/>
      <c r="N97" s="1103"/>
      <c r="O97" s="1104"/>
      <c r="P97" s="1105"/>
      <c r="Q97" s="1106" t="s">
        <v>25</v>
      </c>
      <c r="R97" s="1107"/>
      <c r="S97" s="1108">
        <f t="shared" ref="S97:Y97" si="13">SUM(S86:S96)</f>
        <v>1605174.6</v>
      </c>
      <c r="T97" s="1109">
        <f t="shared" si="13"/>
        <v>59516.4</v>
      </c>
      <c r="U97" s="1110">
        <f t="shared" si="13"/>
        <v>21</v>
      </c>
      <c r="V97" s="1109">
        <f t="shared" si="13"/>
        <v>1254622.6000000001</v>
      </c>
      <c r="W97" s="1109">
        <f t="shared" si="13"/>
        <v>41336.400000000001</v>
      </c>
      <c r="X97" s="1109">
        <f t="shared" si="13"/>
        <v>853281.6</v>
      </c>
      <c r="Y97" s="1109">
        <f t="shared" si="13"/>
        <v>401341</v>
      </c>
      <c r="Z97" s="1501"/>
      <c r="AA97" s="1111"/>
      <c r="AB97" s="1108" t="e">
        <f t="shared" ref="AB97:AI97" si="14">SUM(AB86:AB96)</f>
        <v>#VALUE!</v>
      </c>
      <c r="AC97" s="1108">
        <f t="shared" si="14"/>
        <v>1667733.16</v>
      </c>
      <c r="AD97" s="1109">
        <f t="shared" si="14"/>
        <v>108810</v>
      </c>
      <c r="AE97" s="1111" t="e">
        <f t="shared" si="14"/>
        <v>#VALUE!</v>
      </c>
      <c r="AF97" s="1108">
        <f t="shared" si="14"/>
        <v>2</v>
      </c>
      <c r="AG97" s="1112" t="e">
        <f t="shared" si="14"/>
        <v>#VALUE!</v>
      </c>
      <c r="AH97" s="1113">
        <f t="shared" si="14"/>
        <v>148200</v>
      </c>
      <c r="AI97" s="1109">
        <f t="shared" si="14"/>
        <v>91820</v>
      </c>
    </row>
    <row r="98" spans="1:35" s="1136" customFormat="1" x14ac:dyDescent="0.25">
      <c r="A98" s="1114"/>
      <c r="B98" s="1115"/>
      <c r="C98" s="1115"/>
      <c r="D98" s="1116"/>
      <c r="E98" s="1115"/>
      <c r="F98" s="1117"/>
      <c r="G98" s="1117"/>
      <c r="H98" s="1115"/>
      <c r="I98" s="1117"/>
      <c r="J98" s="1118"/>
      <c r="K98" s="3098" t="s">
        <v>725</v>
      </c>
      <c r="L98" s="1119"/>
      <c r="M98" s="1120"/>
      <c r="N98" s="1121"/>
      <c r="O98" s="1122"/>
      <c r="P98" s="1123">
        <v>1</v>
      </c>
      <c r="Q98" s="1124" t="s">
        <v>585</v>
      </c>
      <c r="R98" s="1125"/>
      <c r="S98" s="1126"/>
      <c r="T98" s="1127"/>
      <c r="U98" s="1128"/>
      <c r="V98" s="1129"/>
      <c r="W98" s="1130"/>
      <c r="X98" s="1129"/>
      <c r="Y98" s="1129"/>
      <c r="Z98" s="1129"/>
      <c r="AA98" s="1131">
        <v>1</v>
      </c>
      <c r="AB98" s="1126"/>
      <c r="AC98" s="1132">
        <v>254676</v>
      </c>
      <c r="AD98" s="1127">
        <v>0</v>
      </c>
      <c r="AE98" s="1133">
        <v>0</v>
      </c>
      <c r="AF98" s="1132">
        <v>0</v>
      </c>
      <c r="AG98" s="1134">
        <v>0</v>
      </c>
      <c r="AH98" s="1135"/>
      <c r="AI98" s="1127"/>
    </row>
    <row r="99" spans="1:35" s="1136" customFormat="1" x14ac:dyDescent="0.25">
      <c r="A99" s="1120"/>
      <c r="B99" s="1137"/>
      <c r="C99" s="1137"/>
      <c r="D99" s="1138"/>
      <c r="E99" s="1137"/>
      <c r="F99" s="1139"/>
      <c r="G99" s="1139"/>
      <c r="H99" s="1137"/>
      <c r="I99" s="1139"/>
      <c r="J99" s="1118"/>
      <c r="K99" s="3099"/>
      <c r="L99" s="1119"/>
      <c r="M99" s="1120"/>
      <c r="N99" s="1121"/>
      <c r="O99" s="1140"/>
      <c r="P99" s="1141">
        <v>22</v>
      </c>
      <c r="Q99" s="1142" t="s">
        <v>588</v>
      </c>
      <c r="R99" s="1143"/>
      <c r="S99" s="1144"/>
      <c r="T99" s="1145"/>
      <c r="U99" s="1146"/>
      <c r="V99" s="1147"/>
      <c r="W99" s="1148"/>
      <c r="X99" s="1147"/>
      <c r="Y99" s="1147"/>
      <c r="Z99" s="1147"/>
      <c r="AA99" s="1149">
        <v>8</v>
      </c>
      <c r="AB99" s="1144"/>
      <c r="AC99" s="1150">
        <v>165984</v>
      </c>
      <c r="AD99" s="1145">
        <v>0</v>
      </c>
      <c r="AE99" s="1151">
        <v>0</v>
      </c>
      <c r="AF99" s="1152">
        <v>0</v>
      </c>
      <c r="AG99" s="1153">
        <v>0</v>
      </c>
      <c r="AH99" s="1154"/>
      <c r="AI99" s="1155"/>
    </row>
    <row r="100" spans="1:35" s="1136" customFormat="1" ht="15.75" thickBot="1" x14ac:dyDescent="0.3">
      <c r="A100" s="1120"/>
      <c r="B100" s="1137"/>
      <c r="C100" s="1137"/>
      <c r="D100" s="1138"/>
      <c r="E100" s="1137"/>
      <c r="F100" s="1139"/>
      <c r="G100" s="1139"/>
      <c r="H100" s="1137"/>
      <c r="I100" s="1139"/>
      <c r="J100" s="1118"/>
      <c r="K100" s="3100"/>
      <c r="L100" s="1119"/>
      <c r="M100" s="1120"/>
      <c r="N100" s="1121"/>
      <c r="O100" s="1156"/>
      <c r="P100" s="1157"/>
      <c r="Q100" s="1158" t="s">
        <v>726</v>
      </c>
      <c r="R100" s="1159"/>
      <c r="S100" s="1160"/>
      <c r="T100" s="1155"/>
      <c r="U100" s="1161"/>
      <c r="V100" s="1162"/>
      <c r="W100" s="1163"/>
      <c r="X100" s="1162"/>
      <c r="Y100" s="1162"/>
      <c r="Z100" s="1162"/>
      <c r="AA100" s="1164"/>
      <c r="AB100" s="1160"/>
      <c r="AC100" s="1165">
        <f>SUM(AC98:AC99)</f>
        <v>420660</v>
      </c>
      <c r="AD100" s="1155">
        <f>SUM(AD98:AD99)</f>
        <v>0</v>
      </c>
      <c r="AE100" s="1166"/>
      <c r="AF100" s="1167"/>
      <c r="AG100" s="1168">
        <f>SUM(AG98:AG99)</f>
        <v>0</v>
      </c>
      <c r="AH100" s="1154"/>
      <c r="AI100" s="1155"/>
    </row>
    <row r="101" spans="1:35" x14ac:dyDescent="0.25">
      <c r="A101" s="1077"/>
      <c r="B101" s="1098"/>
      <c r="C101" s="1098"/>
      <c r="D101" s="1099"/>
      <c r="E101" s="1098"/>
      <c r="F101" s="1100"/>
      <c r="G101" s="1100"/>
      <c r="H101" s="1098"/>
      <c r="I101" s="1100"/>
      <c r="K101" s="3101" t="s">
        <v>16</v>
      </c>
      <c r="L101" s="1169"/>
      <c r="M101" s="1170"/>
      <c r="N101" s="1171"/>
      <c r="O101" s="1172"/>
      <c r="P101" s="643">
        <v>1</v>
      </c>
      <c r="Q101" s="866" t="s">
        <v>397</v>
      </c>
      <c r="R101" s="872">
        <v>16</v>
      </c>
      <c r="S101" s="867">
        <v>416401</v>
      </c>
      <c r="T101" s="868"/>
      <c r="U101" s="869">
        <v>16</v>
      </c>
      <c r="V101" s="1173">
        <f>S101/R101*U101</f>
        <v>416401</v>
      </c>
      <c r="W101" s="870">
        <f>T101/R101*U101</f>
        <v>0</v>
      </c>
      <c r="X101" s="1173"/>
      <c r="Y101" s="1173">
        <f>V101</f>
        <v>416401</v>
      </c>
      <c r="Z101" s="1173"/>
      <c r="AA101" s="874">
        <v>16</v>
      </c>
      <c r="AB101" s="1174"/>
      <c r="AC101" s="1175">
        <v>416401</v>
      </c>
      <c r="AD101" s="1176"/>
      <c r="AE101" s="1177"/>
      <c r="AF101" s="1175"/>
      <c r="AG101" s="1178"/>
      <c r="AH101" s="1179"/>
      <c r="AI101" s="1180"/>
    </row>
    <row r="102" spans="1:35" x14ac:dyDescent="0.25">
      <c r="A102" s="1077"/>
      <c r="B102" s="1098"/>
      <c r="C102" s="1098"/>
      <c r="D102" s="1099"/>
      <c r="E102" s="1098"/>
      <c r="F102" s="1100"/>
      <c r="G102" s="1100"/>
      <c r="H102" s="1098"/>
      <c r="I102" s="1100"/>
      <c r="K102" s="3102"/>
      <c r="L102" s="1169"/>
      <c r="M102" s="1170"/>
      <c r="N102" s="1171"/>
      <c r="O102" s="1172"/>
      <c r="P102" s="643"/>
      <c r="Q102" s="866" t="s">
        <v>600</v>
      </c>
      <c r="R102" s="872"/>
      <c r="S102" s="867"/>
      <c r="T102" s="868"/>
      <c r="U102" s="869"/>
      <c r="V102" s="1173"/>
      <c r="W102" s="870"/>
      <c r="X102" s="1173"/>
      <c r="Y102" s="1173">
        <f>V102</f>
        <v>0</v>
      </c>
      <c r="Z102" s="1173"/>
      <c r="AA102" s="874"/>
      <c r="AB102" s="1174"/>
      <c r="AC102" s="1175">
        <v>16700</v>
      </c>
      <c r="AD102" s="1176"/>
      <c r="AE102" s="1177"/>
      <c r="AF102" s="1175"/>
      <c r="AG102" s="1178"/>
      <c r="AH102" s="1179"/>
      <c r="AI102" s="1180"/>
    </row>
    <row r="103" spans="1:35" x14ac:dyDescent="0.25">
      <c r="A103" s="1077"/>
      <c r="B103" s="1098"/>
      <c r="C103" s="1098"/>
      <c r="D103" s="1099"/>
      <c r="E103" s="1098"/>
      <c r="F103" s="1100"/>
      <c r="G103" s="1100"/>
      <c r="H103" s="1098"/>
      <c r="I103" s="1100"/>
      <c r="K103" s="3102"/>
      <c r="L103" s="1169"/>
      <c r="M103" s="1170"/>
      <c r="N103" s="1171"/>
      <c r="O103" s="1172"/>
      <c r="P103" s="643">
        <v>2</v>
      </c>
      <c r="Q103" s="866" t="s">
        <v>61</v>
      </c>
      <c r="R103" s="872">
        <v>0.6</v>
      </c>
      <c r="S103" s="867">
        <v>112277.51999999999</v>
      </c>
      <c r="T103" s="868">
        <v>19813.679999999997</v>
      </c>
      <c r="U103" s="869">
        <v>1</v>
      </c>
      <c r="V103" s="1173">
        <f>S103/R103*U103/12*7</f>
        <v>109158.69999999998</v>
      </c>
      <c r="W103" s="870">
        <f>T103/R103*U103</f>
        <v>33022.799999999996</v>
      </c>
      <c r="X103" s="1173"/>
      <c r="Y103" s="1173">
        <f>V103</f>
        <v>109158.69999999998</v>
      </c>
      <c r="Z103" s="1173"/>
      <c r="AA103" s="874">
        <v>0.6</v>
      </c>
      <c r="AB103" s="1174"/>
      <c r="AC103" s="1175">
        <v>374314.5</v>
      </c>
      <c r="AD103" s="1176">
        <v>66055.5</v>
      </c>
      <c r="AE103" s="1177"/>
      <c r="AF103" s="1175"/>
      <c r="AG103" s="1178"/>
      <c r="AH103" s="1179"/>
      <c r="AI103" s="1181">
        <v>230186.32</v>
      </c>
    </row>
    <row r="104" spans="1:35" x14ac:dyDescent="0.25">
      <c r="A104" s="1077"/>
      <c r="B104" s="1098"/>
      <c r="C104" s="1098"/>
      <c r="D104" s="1099"/>
      <c r="E104" s="1098"/>
      <c r="F104" s="1100"/>
      <c r="G104" s="1100"/>
      <c r="H104" s="1098"/>
      <c r="I104" s="1100"/>
      <c r="K104" s="3102"/>
      <c r="L104" s="1169"/>
      <c r="M104" s="1170"/>
      <c r="N104" s="1171"/>
      <c r="O104" s="1172"/>
      <c r="P104" s="643">
        <v>3</v>
      </c>
      <c r="Q104" s="866" t="s">
        <v>62</v>
      </c>
      <c r="R104" s="872">
        <v>5</v>
      </c>
      <c r="S104" s="867">
        <v>129810</v>
      </c>
      <c r="T104" s="868"/>
      <c r="U104" s="869">
        <v>5</v>
      </c>
      <c r="V104" s="1173">
        <f>S104/R104*U104</f>
        <v>129810</v>
      </c>
      <c r="W104" s="870">
        <f>T104/R104*U104</f>
        <v>0</v>
      </c>
      <c r="X104" s="1173"/>
      <c r="Y104" s="1173">
        <f>V104</f>
        <v>129810</v>
      </c>
      <c r="Z104" s="1173"/>
      <c r="AA104" s="874">
        <v>8</v>
      </c>
      <c r="AB104" s="1174"/>
      <c r="AC104" s="1175">
        <v>233616</v>
      </c>
      <c r="AD104" s="1176"/>
      <c r="AE104" s="1177"/>
      <c r="AF104" s="1175"/>
      <c r="AG104" s="1178"/>
      <c r="AH104" s="1179"/>
      <c r="AI104" s="1180"/>
    </row>
    <row r="105" spans="1:35" ht="15.75" thickBot="1" x14ac:dyDescent="0.3">
      <c r="A105" s="1077"/>
      <c r="B105" s="1098"/>
      <c r="C105" s="1098"/>
      <c r="D105" s="1099"/>
      <c r="E105" s="1098"/>
      <c r="F105" s="1100"/>
      <c r="G105" s="1100"/>
      <c r="H105" s="1098"/>
      <c r="I105" s="1100"/>
      <c r="K105" s="3102"/>
      <c r="L105" s="1169"/>
      <c r="M105" s="1170"/>
      <c r="N105" s="1171"/>
      <c r="O105" s="1172"/>
      <c r="P105" s="643"/>
      <c r="Q105" s="866" t="s">
        <v>727</v>
      </c>
      <c r="R105" s="872"/>
      <c r="S105" s="867"/>
      <c r="T105" s="868"/>
      <c r="U105" s="869"/>
      <c r="V105" s="1173"/>
      <c r="W105" s="870"/>
      <c r="X105" s="1173"/>
      <c r="Y105" s="1173"/>
      <c r="Z105" s="1173"/>
      <c r="AA105" s="874">
        <v>10</v>
      </c>
      <c r="AB105" s="1174"/>
      <c r="AC105" s="1175">
        <v>98000</v>
      </c>
      <c r="AD105" s="1176"/>
      <c r="AE105" s="1182"/>
      <c r="AF105" s="1183"/>
      <c r="AG105" s="1184"/>
      <c r="AH105" s="1179"/>
      <c r="AI105" s="898"/>
    </row>
    <row r="106" spans="1:35" s="1136" customFormat="1" x14ac:dyDescent="0.25">
      <c r="A106" s="1185"/>
      <c r="B106" s="1186"/>
      <c r="C106" s="1186"/>
      <c r="D106" s="1187"/>
      <c r="E106" s="1186"/>
      <c r="F106" s="1188"/>
      <c r="G106" s="1188"/>
      <c r="H106" s="1186"/>
      <c r="I106" s="1188"/>
      <c r="J106" s="1189"/>
      <c r="K106" s="3102"/>
      <c r="L106" s="1169"/>
      <c r="M106" s="1170"/>
      <c r="N106" s="1171"/>
      <c r="O106" s="880" t="s">
        <v>55</v>
      </c>
      <c r="P106" s="877"/>
      <c r="Q106" s="856" t="s">
        <v>415</v>
      </c>
      <c r="R106" s="872"/>
      <c r="S106" s="867"/>
      <c r="T106" s="868"/>
      <c r="U106" s="869"/>
      <c r="V106" s="1173"/>
      <c r="W106" s="870"/>
      <c r="X106" s="1173"/>
      <c r="Y106" s="1173"/>
      <c r="Z106" s="1173"/>
      <c r="AA106" s="1190">
        <v>1</v>
      </c>
      <c r="AB106" s="1175">
        <v>0</v>
      </c>
      <c r="AC106" s="1175">
        <v>132370</v>
      </c>
      <c r="AD106" s="1176">
        <v>0</v>
      </c>
      <c r="AE106" s="1191">
        <v>0</v>
      </c>
      <c r="AF106" s="1192">
        <v>0</v>
      </c>
      <c r="AG106" s="1193">
        <v>0</v>
      </c>
      <c r="AH106" s="1194"/>
      <c r="AI106" s="1195"/>
    </row>
    <row r="107" spans="1:35" s="1136" customFormat="1" x14ac:dyDescent="0.25">
      <c r="A107" s="1185"/>
      <c r="B107" s="1186"/>
      <c r="C107" s="1186"/>
      <c r="D107" s="1187"/>
      <c r="E107" s="1186"/>
      <c r="F107" s="1188"/>
      <c r="G107" s="1188"/>
      <c r="H107" s="1186"/>
      <c r="I107" s="1188"/>
      <c r="J107" s="1189"/>
      <c r="K107" s="3102"/>
      <c r="L107" s="1169"/>
      <c r="M107" s="1170"/>
      <c r="N107" s="1171"/>
      <c r="O107" s="3104" t="s">
        <v>26</v>
      </c>
      <c r="P107" s="877"/>
      <c r="Q107" s="856" t="s">
        <v>65</v>
      </c>
      <c r="R107" s="872"/>
      <c r="S107" s="867"/>
      <c r="T107" s="868"/>
      <c r="U107" s="869"/>
      <c r="V107" s="1173"/>
      <c r="W107" s="870"/>
      <c r="X107" s="1173"/>
      <c r="Y107" s="1173"/>
      <c r="Z107" s="1173"/>
      <c r="AA107" s="1190">
        <v>1</v>
      </c>
      <c r="AB107" s="1175">
        <v>0</v>
      </c>
      <c r="AC107" s="1175">
        <v>115961.25</v>
      </c>
      <c r="AD107" s="1176">
        <v>20463.75</v>
      </c>
      <c r="AE107" s="1177">
        <v>0</v>
      </c>
      <c r="AF107" s="1196">
        <v>0</v>
      </c>
      <c r="AG107" s="1178">
        <v>0</v>
      </c>
      <c r="AH107" s="1194"/>
      <c r="AI107" s="1195"/>
    </row>
    <row r="108" spans="1:35" s="1136" customFormat="1" x14ac:dyDescent="0.25">
      <c r="A108" s="1185"/>
      <c r="B108" s="1186"/>
      <c r="C108" s="1186"/>
      <c r="D108" s="1187"/>
      <c r="E108" s="1186"/>
      <c r="F108" s="1188"/>
      <c r="G108" s="1188"/>
      <c r="H108" s="1186"/>
      <c r="I108" s="1188"/>
      <c r="J108" s="1189"/>
      <c r="K108" s="3102"/>
      <c r="L108" s="1169"/>
      <c r="M108" s="1170"/>
      <c r="N108" s="1171"/>
      <c r="O108" s="3105"/>
      <c r="P108" s="877"/>
      <c r="Q108" s="856" t="s">
        <v>724</v>
      </c>
      <c r="R108" s="872"/>
      <c r="S108" s="867"/>
      <c r="T108" s="868"/>
      <c r="U108" s="869"/>
      <c r="V108" s="1173"/>
      <c r="W108" s="870"/>
      <c r="X108" s="1173"/>
      <c r="Y108" s="1173"/>
      <c r="Z108" s="1173"/>
      <c r="AA108" s="1190">
        <v>0</v>
      </c>
      <c r="AB108" s="1175">
        <v>0</v>
      </c>
      <c r="AC108" s="1175">
        <v>132594.16</v>
      </c>
      <c r="AD108" s="1176">
        <v>0</v>
      </c>
      <c r="AE108" s="1177">
        <v>0</v>
      </c>
      <c r="AF108" s="1196">
        <v>0</v>
      </c>
      <c r="AG108" s="1178">
        <v>0</v>
      </c>
      <c r="AH108" s="1194"/>
      <c r="AI108" s="1195" t="s">
        <v>240</v>
      </c>
    </row>
    <row r="109" spans="1:35" s="1136" customFormat="1" x14ac:dyDescent="0.25">
      <c r="A109" s="1185"/>
      <c r="B109" s="1186"/>
      <c r="C109" s="1186"/>
      <c r="D109" s="1187"/>
      <c r="E109" s="1186"/>
      <c r="F109" s="1188"/>
      <c r="G109" s="1188"/>
      <c r="H109" s="1186"/>
      <c r="I109" s="1188"/>
      <c r="J109" s="1189"/>
      <c r="K109" s="3102"/>
      <c r="L109" s="1169"/>
      <c r="M109" s="1170"/>
      <c r="N109" s="1171"/>
      <c r="O109" s="880" t="s">
        <v>29</v>
      </c>
      <c r="P109" s="877"/>
      <c r="Q109" s="856" t="s">
        <v>5</v>
      </c>
      <c r="R109" s="872"/>
      <c r="S109" s="867"/>
      <c r="T109" s="868"/>
      <c r="U109" s="869"/>
      <c r="V109" s="1173"/>
      <c r="W109" s="870"/>
      <c r="X109" s="1173"/>
      <c r="Y109" s="1173"/>
      <c r="Z109" s="1173"/>
      <c r="AA109" s="1190">
        <v>1</v>
      </c>
      <c r="AB109" s="1175" t="e">
        <v>#VALUE!</v>
      </c>
      <c r="AC109" s="1175">
        <v>396948</v>
      </c>
      <c r="AD109" s="1176"/>
      <c r="AE109" s="1177" t="e">
        <v>#VALUE!</v>
      </c>
      <c r="AF109" s="1196" t="e">
        <v>#VALUE!</v>
      </c>
      <c r="AG109" s="1178" t="e">
        <v>#VALUE!</v>
      </c>
      <c r="AH109" s="1194"/>
      <c r="AI109" s="1195"/>
    </row>
    <row r="110" spans="1:35" s="1136" customFormat="1" x14ac:dyDescent="0.25">
      <c r="A110" s="1185"/>
      <c r="B110" s="1186"/>
      <c r="C110" s="1186"/>
      <c r="D110" s="1187"/>
      <c r="E110" s="1186"/>
      <c r="F110" s="1188"/>
      <c r="G110" s="1188"/>
      <c r="H110" s="1186"/>
      <c r="I110" s="1188"/>
      <c r="J110" s="1189"/>
      <c r="K110" s="3102"/>
      <c r="L110" s="1169"/>
      <c r="M110" s="1170"/>
      <c r="N110" s="1171"/>
      <c r="O110" s="880"/>
      <c r="P110" s="877"/>
      <c r="Q110" s="856" t="s">
        <v>663</v>
      </c>
      <c r="R110" s="872"/>
      <c r="S110" s="867"/>
      <c r="T110" s="868"/>
      <c r="U110" s="869"/>
      <c r="V110" s="1173"/>
      <c r="W110" s="870"/>
      <c r="X110" s="1173"/>
      <c r="Y110" s="1173"/>
      <c r="Z110" s="1173"/>
      <c r="AA110" s="1190">
        <v>12</v>
      </c>
      <c r="AB110" s="1175">
        <v>0</v>
      </c>
      <c r="AC110" s="1175">
        <v>114456</v>
      </c>
      <c r="AD110" s="1176">
        <v>0</v>
      </c>
      <c r="AE110" s="1177">
        <v>0</v>
      </c>
      <c r="AF110" s="1196">
        <v>0</v>
      </c>
      <c r="AG110" s="1178">
        <v>0</v>
      </c>
      <c r="AH110" s="1194"/>
      <c r="AI110" s="1195"/>
    </row>
    <row r="111" spans="1:35" s="1136" customFormat="1" x14ac:dyDescent="0.25">
      <c r="A111" s="1185"/>
      <c r="B111" s="1186"/>
      <c r="C111" s="1186"/>
      <c r="D111" s="1187"/>
      <c r="E111" s="1186"/>
      <c r="F111" s="1188"/>
      <c r="G111" s="1188"/>
      <c r="H111" s="1186"/>
      <c r="I111" s="1188"/>
      <c r="J111" s="1189"/>
      <c r="K111" s="3102"/>
      <c r="L111" s="1169"/>
      <c r="M111" s="1170"/>
      <c r="N111" s="1171"/>
      <c r="O111" s="880"/>
      <c r="P111" s="877"/>
      <c r="Q111" s="1197" t="s">
        <v>43</v>
      </c>
      <c r="R111" s="872"/>
      <c r="S111" s="867"/>
      <c r="T111" s="868"/>
      <c r="U111" s="869"/>
      <c r="V111" s="1173"/>
      <c r="W111" s="870"/>
      <c r="X111" s="1173"/>
      <c r="Y111" s="1173"/>
      <c r="Z111" s="1173"/>
      <c r="AA111" s="1190">
        <v>1</v>
      </c>
      <c r="AB111" s="1175" t="e">
        <v>#VALUE!</v>
      </c>
      <c r="AC111" s="1175">
        <v>100000</v>
      </c>
      <c r="AD111" s="1176">
        <v>0</v>
      </c>
      <c r="AE111" s="1177" t="e">
        <v>#VALUE!</v>
      </c>
      <c r="AF111" s="1196" t="e">
        <v>#VALUE!</v>
      </c>
      <c r="AG111" s="1178" t="e">
        <v>#VALUE!</v>
      </c>
      <c r="AH111" s="1194"/>
      <c r="AI111" s="1195"/>
    </row>
    <row r="112" spans="1:35" s="1136" customFormat="1" x14ac:dyDescent="0.25">
      <c r="A112" s="1185"/>
      <c r="B112" s="1186"/>
      <c r="C112" s="1186"/>
      <c r="D112" s="1187"/>
      <c r="E112" s="1186"/>
      <c r="F112" s="1188"/>
      <c r="G112" s="1188"/>
      <c r="H112" s="1186"/>
      <c r="I112" s="1188"/>
      <c r="J112" s="1189"/>
      <c r="K112" s="3102"/>
      <c r="L112" s="1169"/>
      <c r="M112" s="1170"/>
      <c r="N112" s="1171"/>
      <c r="O112" s="1198"/>
      <c r="P112" s="1199"/>
      <c r="Q112" s="1200" t="s">
        <v>728</v>
      </c>
      <c r="R112" s="872"/>
      <c r="S112" s="867"/>
      <c r="T112" s="868"/>
      <c r="U112" s="869"/>
      <c r="V112" s="1173"/>
      <c r="W112" s="870"/>
      <c r="X112" s="1173"/>
      <c r="Y112" s="1173"/>
      <c r="Z112" s="1173"/>
      <c r="AA112" s="1190">
        <v>1</v>
      </c>
      <c r="AB112" s="1175" t="e">
        <v>#VALUE!</v>
      </c>
      <c r="AC112" s="1175">
        <v>376992</v>
      </c>
      <c r="AD112" s="1176">
        <v>66528</v>
      </c>
      <c r="AE112" s="1177" t="e">
        <v>#VALUE!</v>
      </c>
      <c r="AF112" s="1196" t="e">
        <v>#VALUE!</v>
      </c>
      <c r="AG112" s="1178" t="e">
        <v>#VALUE!</v>
      </c>
      <c r="AH112" s="1194"/>
      <c r="AI112" s="1195"/>
    </row>
    <row r="113" spans="1:35" s="1136" customFormat="1" x14ac:dyDescent="0.25">
      <c r="A113" s="1185"/>
      <c r="B113" s="1186"/>
      <c r="C113" s="1186"/>
      <c r="D113" s="1187"/>
      <c r="E113" s="1186"/>
      <c r="F113" s="1188"/>
      <c r="G113" s="1188"/>
      <c r="H113" s="1186"/>
      <c r="I113" s="1188"/>
      <c r="J113" s="1189"/>
      <c r="K113" s="3102"/>
      <c r="L113" s="1169"/>
      <c r="M113" s="1170"/>
      <c r="N113" s="1171"/>
      <c r="O113" s="1198"/>
      <c r="P113" s="1199"/>
      <c r="Q113" s="866" t="s">
        <v>60</v>
      </c>
      <c r="R113" s="872"/>
      <c r="S113" s="867"/>
      <c r="T113" s="868"/>
      <c r="U113" s="869"/>
      <c r="V113" s="1173"/>
      <c r="W113" s="870"/>
      <c r="X113" s="1173"/>
      <c r="Y113" s="1173"/>
      <c r="Z113" s="1173"/>
      <c r="AA113" s="1190"/>
      <c r="AB113" s="1175"/>
      <c r="AC113" s="1175"/>
      <c r="AD113" s="1176"/>
      <c r="AE113" s="1201"/>
      <c r="AF113" s="1202"/>
      <c r="AG113" s="1203"/>
      <c r="AH113" s="1194"/>
      <c r="AI113" s="898">
        <v>150000</v>
      </c>
    </row>
    <row r="114" spans="1:35" s="1136" customFormat="1" ht="15.75" thickBot="1" x14ac:dyDescent="0.3">
      <c r="A114" s="1185"/>
      <c r="B114" s="1186"/>
      <c r="C114" s="1186"/>
      <c r="D114" s="1187"/>
      <c r="E114" s="1186"/>
      <c r="F114" s="1188"/>
      <c r="G114" s="1188"/>
      <c r="H114" s="1186"/>
      <c r="I114" s="1188"/>
      <c r="J114" s="1189"/>
      <c r="K114" s="3103"/>
      <c r="L114" s="1169"/>
      <c r="M114" s="1170"/>
      <c r="N114" s="1171"/>
      <c r="O114" s="1172"/>
      <c r="P114" s="1204"/>
      <c r="Q114" s="1205" t="s">
        <v>729</v>
      </c>
      <c r="R114" s="1206">
        <f>SUM(R101:R112)</f>
        <v>21.6</v>
      </c>
      <c r="S114" s="1207">
        <f t="shared" ref="S114:Y114" si="15">SUM(S101:S113)</f>
        <v>658488.52</v>
      </c>
      <c r="T114" s="1208">
        <f t="shared" si="15"/>
        <v>19813.679999999997</v>
      </c>
      <c r="U114" s="1209">
        <f t="shared" si="15"/>
        <v>22</v>
      </c>
      <c r="V114" s="1208">
        <f t="shared" si="15"/>
        <v>655369.69999999995</v>
      </c>
      <c r="W114" s="1208">
        <f t="shared" si="15"/>
        <v>33022.799999999996</v>
      </c>
      <c r="X114" s="1208">
        <f t="shared" si="15"/>
        <v>0</v>
      </c>
      <c r="Y114" s="1208">
        <f t="shared" si="15"/>
        <v>655369.69999999995</v>
      </c>
      <c r="Z114" s="1502"/>
      <c r="AA114" s="1210">
        <f t="shared" ref="AA114:AI114" si="16">SUM(AA101:AA113)</f>
        <v>51.6</v>
      </c>
      <c r="AB114" s="1207" t="e">
        <f t="shared" si="16"/>
        <v>#VALUE!</v>
      </c>
      <c r="AC114" s="1207">
        <f t="shared" si="16"/>
        <v>2508352.91</v>
      </c>
      <c r="AD114" s="1208">
        <f t="shared" si="16"/>
        <v>153047.25</v>
      </c>
      <c r="AE114" s="1210" t="e">
        <f t="shared" si="16"/>
        <v>#VALUE!</v>
      </c>
      <c r="AF114" s="1207" t="e">
        <f t="shared" si="16"/>
        <v>#VALUE!</v>
      </c>
      <c r="AG114" s="1211" t="e">
        <f t="shared" si="16"/>
        <v>#VALUE!</v>
      </c>
      <c r="AH114" s="1206">
        <f t="shared" si="16"/>
        <v>0</v>
      </c>
      <c r="AI114" s="1208">
        <f t="shared" si="16"/>
        <v>380186.32</v>
      </c>
    </row>
    <row r="115" spans="1:35" s="1136" customFormat="1" ht="30.75" thickBot="1" x14ac:dyDescent="0.3">
      <c r="A115" s="1114"/>
      <c r="B115" s="1115"/>
      <c r="C115" s="1115"/>
      <c r="D115" s="1116"/>
      <c r="E115" s="1115"/>
      <c r="F115" s="1117"/>
      <c r="G115" s="1117"/>
      <c r="H115" s="1115"/>
      <c r="I115" s="1117"/>
      <c r="J115" s="1118"/>
      <c r="K115" s="1212" t="s">
        <v>71</v>
      </c>
      <c r="L115" s="1212"/>
      <c r="M115" s="1212"/>
      <c r="N115" s="1213"/>
      <c r="O115" s="1214"/>
      <c r="P115" s="1215"/>
      <c r="Q115" s="1216"/>
      <c r="R115" s="1217"/>
      <c r="S115" s="1218">
        <v>1097625</v>
      </c>
      <c r="T115" s="1219"/>
      <c r="U115" s="1220"/>
      <c r="V115" s="1221"/>
      <c r="W115" s="1222"/>
      <c r="X115" s="1221"/>
      <c r="Y115" s="1221"/>
      <c r="Z115" s="1221"/>
      <c r="AA115" s="1223"/>
      <c r="AB115" s="1218"/>
      <c r="AC115" s="1218">
        <v>1653600</v>
      </c>
      <c r="AD115" s="1219"/>
      <c r="AE115" s="1224"/>
      <c r="AF115" s="1225"/>
      <c r="AG115" s="1226"/>
      <c r="AH115" s="1227"/>
      <c r="AI115" s="1228"/>
    </row>
    <row r="116" spans="1:35" s="1136" customFormat="1" ht="15.75" thickBot="1" x14ac:dyDescent="0.3">
      <c r="A116" s="1114"/>
      <c r="B116" s="1115"/>
      <c r="C116" s="1115"/>
      <c r="D116" s="1116"/>
      <c r="E116" s="1115"/>
      <c r="F116" s="1117"/>
      <c r="G116" s="1117"/>
      <c r="H116" s="1115"/>
      <c r="I116" s="1117"/>
      <c r="J116" s="1118"/>
      <c r="K116" s="3095" t="s">
        <v>743</v>
      </c>
      <c r="L116" s="1468"/>
      <c r="M116" s="1469"/>
      <c r="N116" s="1470"/>
      <c r="O116" s="1471"/>
      <c r="P116" s="1472"/>
      <c r="Q116" s="1483" t="s">
        <v>680</v>
      </c>
      <c r="R116" s="1488">
        <v>20</v>
      </c>
      <c r="S116" s="1489">
        <v>497020</v>
      </c>
      <c r="T116" s="1475"/>
      <c r="U116" s="1476"/>
      <c r="V116" s="1477"/>
      <c r="W116" s="1478"/>
      <c r="X116" s="1477"/>
      <c r="Y116" s="1477"/>
      <c r="Z116" s="1477"/>
      <c r="AA116" s="1479"/>
      <c r="AB116" s="1474"/>
      <c r="AC116" s="1474"/>
      <c r="AD116" s="1475"/>
      <c r="AE116" s="1480"/>
      <c r="AF116" s="1481"/>
      <c r="AG116" s="1482"/>
      <c r="AH116" s="1227"/>
      <c r="AI116" s="1228"/>
    </row>
    <row r="117" spans="1:35" s="1136" customFormat="1" ht="15.75" thickBot="1" x14ac:dyDescent="0.3">
      <c r="A117" s="1114"/>
      <c r="B117" s="1115"/>
      <c r="C117" s="1115"/>
      <c r="D117" s="1116"/>
      <c r="E117" s="1115"/>
      <c r="F117" s="1117"/>
      <c r="G117" s="1117"/>
      <c r="H117" s="1115"/>
      <c r="I117" s="1117"/>
      <c r="J117" s="1118"/>
      <c r="K117" s="3096"/>
      <c r="L117" s="1468"/>
      <c r="M117" s="1469"/>
      <c r="N117" s="1470"/>
      <c r="O117" s="1471"/>
      <c r="P117" s="1472"/>
      <c r="Q117" s="1485" t="s">
        <v>745</v>
      </c>
      <c r="R117" s="1488">
        <v>15</v>
      </c>
      <c r="S117" s="1489">
        <f>201300</f>
        <v>201300</v>
      </c>
      <c r="T117" s="1475"/>
      <c r="U117" s="1476"/>
      <c r="V117" s="1477"/>
      <c r="W117" s="1478"/>
      <c r="X117" s="1477"/>
      <c r="Y117" s="1477"/>
      <c r="Z117" s="1477"/>
      <c r="AA117" s="1479"/>
      <c r="AB117" s="1474"/>
      <c r="AC117" s="1474"/>
      <c r="AD117" s="1475"/>
      <c r="AE117" s="1480"/>
      <c r="AF117" s="1481"/>
      <c r="AG117" s="1482"/>
      <c r="AH117" s="1227"/>
      <c r="AI117" s="1228"/>
    </row>
    <row r="118" spans="1:35" s="1136" customFormat="1" ht="15.75" thickBot="1" x14ac:dyDescent="0.3">
      <c r="A118" s="1114"/>
      <c r="B118" s="1115"/>
      <c r="C118" s="1115"/>
      <c r="D118" s="1116"/>
      <c r="E118" s="1115"/>
      <c r="F118" s="1117"/>
      <c r="G118" s="1117"/>
      <c r="H118" s="1115"/>
      <c r="I118" s="1117"/>
      <c r="J118" s="1118"/>
      <c r="K118" s="3096"/>
      <c r="L118" s="1468"/>
      <c r="M118" s="1469"/>
      <c r="N118" s="1470"/>
      <c r="O118" s="1471"/>
      <c r="P118" s="1472"/>
      <c r="Q118" s="1484" t="s">
        <v>746</v>
      </c>
      <c r="R118" s="1488">
        <v>1</v>
      </c>
      <c r="S118" s="1489">
        <f>184800*0.85</f>
        <v>157080</v>
      </c>
      <c r="T118" s="1475">
        <f>S118/0.85*0.15</f>
        <v>27720</v>
      </c>
      <c r="U118" s="1476"/>
      <c r="V118" s="1477"/>
      <c r="W118" s="1478"/>
      <c r="X118" s="1477"/>
      <c r="Y118" s="1477"/>
      <c r="Z118" s="1477"/>
      <c r="AA118" s="1479"/>
      <c r="AB118" s="1474"/>
      <c r="AC118" s="1474"/>
      <c r="AD118" s="1475"/>
      <c r="AE118" s="1480"/>
      <c r="AF118" s="1481"/>
      <c r="AG118" s="1482"/>
      <c r="AH118" s="1227"/>
      <c r="AI118" s="1228"/>
    </row>
    <row r="119" spans="1:35" s="1136" customFormat="1" ht="29.25" thickBot="1" x14ac:dyDescent="0.3">
      <c r="A119" s="1114"/>
      <c r="B119" s="1115"/>
      <c r="C119" s="1115"/>
      <c r="D119" s="1116"/>
      <c r="E119" s="1115"/>
      <c r="F119" s="1117"/>
      <c r="G119" s="1117"/>
      <c r="H119" s="1115"/>
      <c r="I119" s="1117"/>
      <c r="J119" s="1118"/>
      <c r="K119" s="3096"/>
      <c r="L119" s="1468"/>
      <c r="M119" s="1469"/>
      <c r="N119" s="1470"/>
      <c r="O119" s="1471"/>
      <c r="P119" s="1472"/>
      <c r="Q119" s="1486" t="s">
        <v>747</v>
      </c>
      <c r="R119" s="1488">
        <v>1</v>
      </c>
      <c r="S119" s="1489">
        <f>184800*0.85</f>
        <v>157080</v>
      </c>
      <c r="T119" s="1475">
        <f>S119/0.85*0.15</f>
        <v>27720</v>
      </c>
      <c r="U119" s="1476"/>
      <c r="V119" s="1477"/>
      <c r="W119" s="1478"/>
      <c r="X119" s="1477"/>
      <c r="Y119" s="1477"/>
      <c r="Z119" s="1477"/>
      <c r="AA119" s="1479"/>
      <c r="AB119" s="1474"/>
      <c r="AC119" s="1474"/>
      <c r="AD119" s="1475"/>
      <c r="AE119" s="1480"/>
      <c r="AF119" s="1481"/>
      <c r="AG119" s="1482"/>
      <c r="AH119" s="1227"/>
      <c r="AI119" s="1228"/>
    </row>
    <row r="120" spans="1:35" s="1136" customFormat="1" ht="15.75" thickBot="1" x14ac:dyDescent="0.3">
      <c r="A120" s="1114"/>
      <c r="B120" s="1115"/>
      <c r="C120" s="1115"/>
      <c r="D120" s="1116"/>
      <c r="E120" s="1115"/>
      <c r="F120" s="1117"/>
      <c r="G120" s="1117"/>
      <c r="H120" s="1115"/>
      <c r="I120" s="1117"/>
      <c r="J120" s="1118"/>
      <c r="K120" s="3096"/>
      <c r="L120" s="1468" t="s">
        <v>240</v>
      </c>
      <c r="M120" s="1469"/>
      <c r="N120" s="1470"/>
      <c r="O120" s="1471"/>
      <c r="P120" s="1472"/>
      <c r="Q120" s="1485" t="s">
        <v>62</v>
      </c>
      <c r="R120" s="1488">
        <v>6</v>
      </c>
      <c r="S120" s="1489">
        <v>155336</v>
      </c>
      <c r="T120" s="1475"/>
      <c r="U120" s="1476"/>
      <c r="V120" s="1477"/>
      <c r="W120" s="1478"/>
      <c r="X120" s="1477"/>
      <c r="Y120" s="1477"/>
      <c r="Z120" s="1477"/>
      <c r="AA120" s="1479"/>
      <c r="AB120" s="1474"/>
      <c r="AC120" s="1474"/>
      <c r="AD120" s="1475"/>
      <c r="AE120" s="1480"/>
      <c r="AF120" s="1481"/>
      <c r="AG120" s="1482"/>
      <c r="AH120" s="1227"/>
      <c r="AI120" s="1228"/>
    </row>
    <row r="121" spans="1:35" s="1136" customFormat="1" ht="15.75" thickBot="1" x14ac:dyDescent="0.3">
      <c r="A121" s="1114"/>
      <c r="B121" s="1115"/>
      <c r="C121" s="1115"/>
      <c r="D121" s="1116"/>
      <c r="E121" s="1115"/>
      <c r="F121" s="1117"/>
      <c r="G121" s="1117"/>
      <c r="H121" s="1115"/>
      <c r="I121" s="1117"/>
      <c r="J121" s="1118"/>
      <c r="K121" s="3097"/>
      <c r="L121" s="1468"/>
      <c r="M121" s="1469"/>
      <c r="N121" s="1470"/>
      <c r="O121" s="1471"/>
      <c r="P121" s="1472"/>
      <c r="Q121" s="1487" t="s">
        <v>744</v>
      </c>
      <c r="R121" s="1473"/>
      <c r="S121" s="1474">
        <f>SUM(S116:S120)</f>
        <v>1167816</v>
      </c>
      <c r="T121" s="1474">
        <f>SUM(T116:T120)</f>
        <v>55440</v>
      </c>
      <c r="U121" s="1476"/>
      <c r="V121" s="1477"/>
      <c r="W121" s="1478"/>
      <c r="X121" s="1477"/>
      <c r="Y121" s="1477"/>
      <c r="Z121" s="1477"/>
      <c r="AA121" s="1479"/>
      <c r="AB121" s="1474"/>
      <c r="AC121" s="1474"/>
      <c r="AD121" s="1475"/>
      <c r="AE121" s="1480"/>
      <c r="AF121" s="1481"/>
      <c r="AG121" s="1482"/>
      <c r="AH121" s="1227"/>
      <c r="AI121" s="1228"/>
    </row>
    <row r="122" spans="1:35" s="1136" customFormat="1" ht="15" customHeight="1" x14ac:dyDescent="0.25">
      <c r="A122" s="1229"/>
      <c r="B122" s="1230"/>
      <c r="C122" s="1230"/>
      <c r="D122" s="1231"/>
      <c r="E122" s="1230"/>
      <c r="F122" s="1232"/>
      <c r="G122" s="1232"/>
      <c r="H122" s="1230"/>
      <c r="I122" s="1232"/>
      <c r="J122" s="1118"/>
      <c r="K122" s="3106" t="s">
        <v>677</v>
      </c>
      <c r="L122" s="1233"/>
      <c r="M122" s="1234"/>
      <c r="N122" s="1235"/>
      <c r="O122" s="1236" t="s">
        <v>55</v>
      </c>
      <c r="P122" s="1237">
        <v>1</v>
      </c>
      <c r="Q122" s="1238" t="s">
        <v>730</v>
      </c>
      <c r="R122" s="1239"/>
      <c r="S122" s="1240"/>
      <c r="T122" s="1241"/>
      <c r="U122" s="1242"/>
      <c r="V122" s="1243"/>
      <c r="W122" s="1244"/>
      <c r="X122" s="1243"/>
      <c r="Y122" s="1243"/>
      <c r="Z122" s="1243"/>
      <c r="AA122" s="1245">
        <v>1</v>
      </c>
      <c r="AB122" s="1246">
        <v>0</v>
      </c>
      <c r="AC122" s="1246">
        <v>63422</v>
      </c>
      <c r="AD122" s="1247">
        <v>0</v>
      </c>
      <c r="AE122" s="1248">
        <v>0</v>
      </c>
      <c r="AF122" s="1249">
        <v>0</v>
      </c>
      <c r="AG122" s="1250">
        <v>0</v>
      </c>
      <c r="AH122" s="1251"/>
      <c r="AI122" s="1241"/>
    </row>
    <row r="123" spans="1:35" s="1136" customFormat="1" x14ac:dyDescent="0.25">
      <c r="A123" s="1229"/>
      <c r="B123" s="1230"/>
      <c r="C123" s="1230"/>
      <c r="D123" s="1231"/>
      <c r="E123" s="1230"/>
      <c r="F123" s="1232"/>
      <c r="G123" s="1232"/>
      <c r="H123" s="1230"/>
      <c r="I123" s="1232"/>
      <c r="J123" s="1118"/>
      <c r="K123" s="3107"/>
      <c r="L123" s="1252"/>
      <c r="M123" s="1229"/>
      <c r="N123" s="1253"/>
      <c r="O123" s="1254"/>
      <c r="P123" s="1255">
        <v>6</v>
      </c>
      <c r="Q123" s="1256" t="s">
        <v>444</v>
      </c>
      <c r="R123" s="1239"/>
      <c r="S123" s="1240"/>
      <c r="T123" s="1241"/>
      <c r="U123" s="1242"/>
      <c r="V123" s="1243"/>
      <c r="W123" s="1244"/>
      <c r="X123" s="1243"/>
      <c r="Y123" s="1243"/>
      <c r="Z123" s="1243"/>
      <c r="AA123" s="1257">
        <v>2</v>
      </c>
      <c r="AB123" s="1258"/>
      <c r="AC123" s="1258">
        <v>111328</v>
      </c>
      <c r="AD123" s="1259">
        <v>0</v>
      </c>
      <c r="AE123" s="1260">
        <v>0</v>
      </c>
      <c r="AF123" s="1261">
        <v>0</v>
      </c>
      <c r="AG123" s="1262">
        <v>0</v>
      </c>
      <c r="AH123" s="1251"/>
      <c r="AI123" s="1241"/>
    </row>
    <row r="124" spans="1:35" s="1136" customFormat="1" x14ac:dyDescent="0.25">
      <c r="A124" s="1229"/>
      <c r="B124" s="1230"/>
      <c r="C124" s="1230"/>
      <c r="D124" s="1231"/>
      <c r="E124" s="1230"/>
      <c r="F124" s="1232"/>
      <c r="G124" s="1232"/>
      <c r="H124" s="1230"/>
      <c r="I124" s="1232"/>
      <c r="J124" s="1118"/>
      <c r="K124" s="3107"/>
      <c r="L124" s="1252"/>
      <c r="M124" s="1229"/>
      <c r="N124" s="1253"/>
      <c r="O124" s="1263"/>
      <c r="P124" s="1264">
        <v>22</v>
      </c>
      <c r="Q124" s="1265" t="s">
        <v>671</v>
      </c>
      <c r="R124" s="1239"/>
      <c r="S124" s="1240"/>
      <c r="T124" s="1241"/>
      <c r="U124" s="1242"/>
      <c r="V124" s="1243"/>
      <c r="W124" s="1244"/>
      <c r="X124" s="1243"/>
      <c r="Y124" s="1243"/>
      <c r="Z124" s="1243"/>
      <c r="AA124" s="1266">
        <v>8</v>
      </c>
      <c r="AB124" s="1267"/>
      <c r="AC124" s="1267">
        <v>112480</v>
      </c>
      <c r="AD124" s="1268">
        <v>0</v>
      </c>
      <c r="AE124" s="1269">
        <v>0</v>
      </c>
      <c r="AF124" s="1261">
        <v>0</v>
      </c>
      <c r="AG124" s="1270">
        <v>0</v>
      </c>
      <c r="AH124" s="1251"/>
      <c r="AI124" s="1241"/>
    </row>
    <row r="125" spans="1:35" s="1136" customFormat="1" ht="15.75" thickBot="1" x14ac:dyDescent="0.3">
      <c r="A125" s="1229"/>
      <c r="B125" s="1230"/>
      <c r="C125" s="1230"/>
      <c r="D125" s="1231"/>
      <c r="E125" s="1230"/>
      <c r="F125" s="1232"/>
      <c r="G125" s="1232"/>
      <c r="H125" s="1230"/>
      <c r="I125" s="1232"/>
      <c r="J125" s="1118"/>
      <c r="K125" s="3108"/>
      <c r="L125" s="1271"/>
      <c r="M125" s="1272"/>
      <c r="N125" s="1273"/>
      <c r="O125" s="1274"/>
      <c r="P125" s="1275"/>
      <c r="Q125" s="1276" t="s">
        <v>731</v>
      </c>
      <c r="R125" s="1239"/>
      <c r="S125" s="1240"/>
      <c r="T125" s="1241"/>
      <c r="U125" s="1242"/>
      <c r="V125" s="1243"/>
      <c r="W125" s="1244"/>
      <c r="X125" s="1243"/>
      <c r="Y125" s="1243"/>
      <c r="Z125" s="1243"/>
      <c r="AA125" s="1277"/>
      <c r="AB125" s="1278"/>
      <c r="AC125" s="1279">
        <f>SUM(AC122:AC124)</f>
        <v>287230</v>
      </c>
      <c r="AD125" s="1280">
        <f>SUM(AD122:AD124)</f>
        <v>0</v>
      </c>
      <c r="AE125" s="1281"/>
      <c r="AF125" s="1282"/>
      <c r="AG125" s="1283">
        <f>SUM(AG122:AG124)</f>
        <v>0</v>
      </c>
      <c r="AH125" s="1251"/>
      <c r="AI125" s="1241"/>
    </row>
    <row r="126" spans="1:35" s="1136" customFormat="1" x14ac:dyDescent="0.25">
      <c r="A126" s="1284"/>
      <c r="B126" s="1285"/>
      <c r="C126" s="1285"/>
      <c r="D126" s="1286"/>
      <c r="E126" s="1285"/>
      <c r="F126" s="1287"/>
      <c r="G126" s="1287"/>
      <c r="H126" s="1285"/>
      <c r="I126" s="1287"/>
      <c r="J126" s="1118"/>
      <c r="K126" s="3109" t="s">
        <v>675</v>
      </c>
      <c r="L126" s="1288"/>
      <c r="M126" s="1289"/>
      <c r="N126" s="1290"/>
      <c r="O126" s="1291" t="s">
        <v>55</v>
      </c>
      <c r="P126" s="1292">
        <v>1</v>
      </c>
      <c r="Q126" s="1293" t="s">
        <v>730</v>
      </c>
      <c r="R126" s="1294"/>
      <c r="S126" s="1295"/>
      <c r="T126" s="1296"/>
      <c r="U126" s="1297"/>
      <c r="V126" s="1298"/>
      <c r="W126" s="1299"/>
      <c r="X126" s="1298"/>
      <c r="Y126" s="1298"/>
      <c r="Z126" s="1298"/>
      <c r="AA126" s="1300">
        <v>1</v>
      </c>
      <c r="AB126" s="1301">
        <v>0</v>
      </c>
      <c r="AC126" s="1301">
        <v>156370</v>
      </c>
      <c r="AD126" s="1302">
        <v>0</v>
      </c>
      <c r="AE126" s="1303">
        <v>0</v>
      </c>
      <c r="AF126" s="1304">
        <v>0</v>
      </c>
      <c r="AG126" s="1305">
        <v>0</v>
      </c>
      <c r="AH126" s="1306"/>
      <c r="AI126" s="1296"/>
    </row>
    <row r="127" spans="1:35" s="1136" customFormat="1" ht="15.75" thickBot="1" x14ac:dyDescent="0.3">
      <c r="A127" s="1284"/>
      <c r="B127" s="1285"/>
      <c r="C127" s="1285"/>
      <c r="D127" s="1286"/>
      <c r="E127" s="1285"/>
      <c r="F127" s="1287"/>
      <c r="G127" s="1287"/>
      <c r="H127" s="1285"/>
      <c r="I127" s="1287"/>
      <c r="J127" s="1118"/>
      <c r="K127" s="3110"/>
      <c r="L127" s="1307"/>
      <c r="M127" s="1308"/>
      <c r="N127" s="1309"/>
      <c r="O127" s="1310"/>
      <c r="P127" s="1311"/>
      <c r="Q127" s="1312" t="s">
        <v>668</v>
      </c>
      <c r="R127" s="1294"/>
      <c r="S127" s="1295"/>
      <c r="T127" s="1296"/>
      <c r="U127" s="1297"/>
      <c r="V127" s="1298"/>
      <c r="W127" s="1299"/>
      <c r="X127" s="1298"/>
      <c r="Y127" s="1298"/>
      <c r="Z127" s="1298"/>
      <c r="AA127" s="1313"/>
      <c r="AB127" s="1314"/>
      <c r="AC127" s="1315">
        <f>SUM(AC126)</f>
        <v>156370</v>
      </c>
      <c r="AD127" s="1316">
        <f>SUM(AD126)</f>
        <v>0</v>
      </c>
      <c r="AE127" s="1317"/>
      <c r="AF127" s="1318"/>
      <c r="AG127" s="1319">
        <f>SUM(AG126)</f>
        <v>0</v>
      </c>
      <c r="AH127" s="1306"/>
      <c r="AI127" s="1296"/>
    </row>
    <row r="128" spans="1:35" s="1136" customFormat="1" x14ac:dyDescent="0.25">
      <c r="A128" s="1320"/>
      <c r="B128" s="1321"/>
      <c r="C128" s="1321"/>
      <c r="D128" s="1322"/>
      <c r="E128" s="1321"/>
      <c r="F128" s="1323"/>
      <c r="G128" s="1323"/>
      <c r="H128" s="1321"/>
      <c r="I128" s="1323"/>
      <c r="J128" s="1118"/>
      <c r="K128" s="3111" t="s">
        <v>676</v>
      </c>
      <c r="L128" s="1324"/>
      <c r="M128" s="1325"/>
      <c r="N128" s="1326"/>
      <c r="O128" s="1327" t="s">
        <v>55</v>
      </c>
      <c r="P128" s="1328">
        <v>1</v>
      </c>
      <c r="Q128" s="1329" t="s">
        <v>730</v>
      </c>
      <c r="R128" s="1330"/>
      <c r="S128" s="1331"/>
      <c r="T128" s="1332"/>
      <c r="U128" s="1333"/>
      <c r="V128" s="1334"/>
      <c r="W128" s="1335"/>
      <c r="X128" s="1334"/>
      <c r="Y128" s="1334"/>
      <c r="Z128" s="1334"/>
      <c r="AA128" s="1336">
        <v>1</v>
      </c>
      <c r="AB128" s="1337"/>
      <c r="AC128" s="1338">
        <v>142044</v>
      </c>
      <c r="AD128" s="1339">
        <v>0</v>
      </c>
      <c r="AE128" s="1340">
        <v>0</v>
      </c>
      <c r="AF128" s="1338">
        <v>0</v>
      </c>
      <c r="AG128" s="1341">
        <v>0</v>
      </c>
      <c r="AH128" s="1342"/>
      <c r="AI128" s="1332"/>
    </row>
    <row r="129" spans="1:35" s="1136" customFormat="1" ht="15.75" thickBot="1" x14ac:dyDescent="0.3">
      <c r="A129" s="1320"/>
      <c r="B129" s="1321"/>
      <c r="C129" s="1321"/>
      <c r="D129" s="1322"/>
      <c r="E129" s="1321"/>
      <c r="F129" s="1323"/>
      <c r="G129" s="1323"/>
      <c r="H129" s="1321"/>
      <c r="I129" s="1323"/>
      <c r="J129" s="1118"/>
      <c r="K129" s="3112"/>
      <c r="L129" s="1343"/>
      <c r="M129" s="1344"/>
      <c r="N129" s="1345"/>
      <c r="O129" s="915"/>
      <c r="P129" s="909"/>
      <c r="Q129" s="916" t="s">
        <v>732</v>
      </c>
      <c r="R129" s="1330"/>
      <c r="S129" s="1331"/>
      <c r="T129" s="1332"/>
      <c r="U129" s="1333"/>
      <c r="V129" s="1334"/>
      <c r="W129" s="1335"/>
      <c r="X129" s="1334"/>
      <c r="Y129" s="1334"/>
      <c r="Z129" s="1334"/>
      <c r="AA129" s="1346"/>
      <c r="AB129" s="1347"/>
      <c r="AC129" s="918">
        <f>SUM(AC128)</f>
        <v>142044</v>
      </c>
      <c r="AD129" s="919">
        <f>SUM(AD128)</f>
        <v>0</v>
      </c>
      <c r="AE129" s="921"/>
      <c r="AF129" s="1348"/>
      <c r="AG129" s="922">
        <f>SUM(AG128)</f>
        <v>0</v>
      </c>
      <c r="AH129" s="1342"/>
      <c r="AI129" s="1332"/>
    </row>
    <row r="130" spans="1:35" s="1136" customFormat="1" x14ac:dyDescent="0.25">
      <c r="A130" s="1349"/>
      <c r="B130" s="1350"/>
      <c r="C130" s="1350"/>
      <c r="D130" s="1351"/>
      <c r="E130" s="1350"/>
      <c r="F130" s="1352"/>
      <c r="G130" s="1352"/>
      <c r="H130" s="1350"/>
      <c r="I130" s="1352"/>
      <c r="J130" s="1118"/>
      <c r="K130" s="3089" t="s">
        <v>733</v>
      </c>
      <c r="L130" s="1353"/>
      <c r="M130" s="1349"/>
      <c r="N130" s="1354"/>
      <c r="O130" s="1355"/>
      <c r="P130" s="1356">
        <v>9</v>
      </c>
      <c r="Q130" s="1357" t="s">
        <v>673</v>
      </c>
      <c r="R130" s="1358"/>
      <c r="S130" s="1359"/>
      <c r="T130" s="1360"/>
      <c r="U130" s="1361"/>
      <c r="V130" s="1362"/>
      <c r="W130" s="1363"/>
      <c r="X130" s="1362"/>
      <c r="Y130" s="1362"/>
      <c r="Z130" s="1362"/>
      <c r="AA130" s="1364">
        <v>9</v>
      </c>
      <c r="AB130" s="1365">
        <v>0</v>
      </c>
      <c r="AC130" s="1365">
        <v>109968.75</v>
      </c>
      <c r="AD130" s="1366">
        <v>19406.25</v>
      </c>
      <c r="AE130" s="1367">
        <v>0</v>
      </c>
      <c r="AF130" s="1368">
        <v>0</v>
      </c>
      <c r="AG130" s="1369">
        <v>129375</v>
      </c>
      <c r="AH130" s="1370"/>
      <c r="AI130" s="1360"/>
    </row>
    <row r="131" spans="1:35" s="1136" customFormat="1" x14ac:dyDescent="0.25">
      <c r="A131" s="1349"/>
      <c r="B131" s="1350"/>
      <c r="C131" s="1350"/>
      <c r="D131" s="1351"/>
      <c r="E131" s="1350"/>
      <c r="F131" s="1352"/>
      <c r="G131" s="1352"/>
      <c r="H131" s="1350"/>
      <c r="I131" s="1352"/>
      <c r="J131" s="1118"/>
      <c r="K131" s="3090"/>
      <c r="L131" s="1353"/>
      <c r="M131" s="1349"/>
      <c r="N131" s="1354"/>
      <c r="O131" s="1371"/>
      <c r="P131" s="1356">
        <v>16</v>
      </c>
      <c r="Q131" s="1357" t="s">
        <v>34</v>
      </c>
      <c r="R131" s="1358"/>
      <c r="S131" s="1359"/>
      <c r="T131" s="1360"/>
      <c r="U131" s="1361"/>
      <c r="V131" s="1362"/>
      <c r="W131" s="1363"/>
      <c r="X131" s="1362"/>
      <c r="Y131" s="1362"/>
      <c r="Z131" s="1362"/>
      <c r="AA131" s="1364">
        <v>6</v>
      </c>
      <c r="AB131" s="1365">
        <v>0</v>
      </c>
      <c r="AC131" s="1365">
        <v>99560</v>
      </c>
      <c r="AD131" s="1366">
        <v>0</v>
      </c>
      <c r="AE131" s="1367">
        <v>0</v>
      </c>
      <c r="AF131" s="1368">
        <v>0</v>
      </c>
      <c r="AG131" s="1369">
        <v>0</v>
      </c>
      <c r="AH131" s="1370"/>
      <c r="AI131" s="1360"/>
    </row>
    <row r="132" spans="1:35" s="1136" customFormat="1" ht="15.75" thickBot="1" x14ac:dyDescent="0.3">
      <c r="A132" s="1349"/>
      <c r="B132" s="1350"/>
      <c r="C132" s="1350"/>
      <c r="D132" s="1351"/>
      <c r="E132" s="1350"/>
      <c r="F132" s="1352"/>
      <c r="G132" s="1352"/>
      <c r="H132" s="1350"/>
      <c r="I132" s="1352"/>
      <c r="J132" s="1118"/>
      <c r="K132" s="3091"/>
      <c r="L132" s="1353"/>
      <c r="M132" s="1349"/>
      <c r="N132" s="1354"/>
      <c r="O132" s="1372"/>
      <c r="P132" s="1373"/>
      <c r="Q132" s="1374" t="s">
        <v>674</v>
      </c>
      <c r="R132" s="1358"/>
      <c r="S132" s="1359"/>
      <c r="T132" s="1360"/>
      <c r="U132" s="1361"/>
      <c r="V132" s="1362"/>
      <c r="W132" s="1363"/>
      <c r="X132" s="1362"/>
      <c r="Y132" s="1362"/>
      <c r="Z132" s="1362"/>
      <c r="AA132" s="1375"/>
      <c r="AB132" s="1376"/>
      <c r="AC132" s="1377">
        <f>SUM(AC130:AC131)</f>
        <v>209528.75</v>
      </c>
      <c r="AD132" s="1378">
        <f>SUM(AD130:AD131)</f>
        <v>19406.25</v>
      </c>
      <c r="AE132" s="1379"/>
      <c r="AF132" s="1380"/>
      <c r="AG132" s="1381">
        <f>SUM(AG130:AG131)</f>
        <v>129375</v>
      </c>
      <c r="AH132" s="1370"/>
      <c r="AI132" s="1360"/>
    </row>
    <row r="133" spans="1:35" s="1136" customFormat="1" x14ac:dyDescent="0.25">
      <c r="A133" s="1382"/>
      <c r="B133" s="1383"/>
      <c r="C133" s="1383"/>
      <c r="D133" s="1384"/>
      <c r="E133" s="1383"/>
      <c r="F133" s="1385"/>
      <c r="G133" s="1385"/>
      <c r="H133" s="1383"/>
      <c r="I133" s="1385"/>
      <c r="J133" s="1118"/>
      <c r="K133" s="3092" t="s">
        <v>679</v>
      </c>
      <c r="L133" s="1386"/>
      <c r="M133" s="1387"/>
      <c r="N133" s="1388"/>
      <c r="O133" s="1389" t="s">
        <v>55</v>
      </c>
      <c r="P133" s="1390">
        <v>1</v>
      </c>
      <c r="Q133" s="1391" t="s">
        <v>730</v>
      </c>
      <c r="R133" s="1392"/>
      <c r="S133" s="1393"/>
      <c r="T133" s="1394"/>
      <c r="U133" s="1395"/>
      <c r="V133" s="1396"/>
      <c r="W133" s="1397"/>
      <c r="X133" s="1396"/>
      <c r="Y133" s="1396"/>
      <c r="Z133" s="1396"/>
      <c r="AA133" s="1398">
        <v>1</v>
      </c>
      <c r="AB133" s="1399">
        <v>0</v>
      </c>
      <c r="AC133" s="1399">
        <v>123690</v>
      </c>
      <c r="AD133" s="1400">
        <v>0</v>
      </c>
      <c r="AE133" s="1401">
        <v>0</v>
      </c>
      <c r="AF133" s="1402">
        <v>0</v>
      </c>
      <c r="AG133" s="1403">
        <v>0</v>
      </c>
      <c r="AH133" s="1404"/>
      <c r="AI133" s="1394"/>
    </row>
    <row r="134" spans="1:35" s="1136" customFormat="1" ht="15.75" thickBot="1" x14ac:dyDescent="0.3">
      <c r="A134" s="1382"/>
      <c r="B134" s="1383"/>
      <c r="C134" s="1383"/>
      <c r="D134" s="1384"/>
      <c r="E134" s="1383"/>
      <c r="F134" s="1385"/>
      <c r="G134" s="1385"/>
      <c r="H134" s="1383"/>
      <c r="I134" s="1385"/>
      <c r="J134" s="1118"/>
      <c r="K134" s="3093"/>
      <c r="L134" s="1405"/>
      <c r="M134" s="1406"/>
      <c r="N134" s="1407"/>
      <c r="O134" s="1408"/>
      <c r="P134" s="1409"/>
      <c r="Q134" s="1410" t="s">
        <v>734</v>
      </c>
      <c r="R134" s="1392"/>
      <c r="S134" s="1393"/>
      <c r="T134" s="1394"/>
      <c r="U134" s="1395"/>
      <c r="V134" s="1396"/>
      <c r="W134" s="1397"/>
      <c r="X134" s="1396"/>
      <c r="Y134" s="1396"/>
      <c r="Z134" s="1396"/>
      <c r="AA134" s="1411"/>
      <c r="AB134" s="1412"/>
      <c r="AC134" s="1413">
        <f>SUM(AC133)</f>
        <v>123690</v>
      </c>
      <c r="AD134" s="1414">
        <f>SUM(AD133)</f>
        <v>0</v>
      </c>
      <c r="AE134" s="1415"/>
      <c r="AF134" s="1416"/>
      <c r="AG134" s="1417">
        <f>SUM(AG133)</f>
        <v>0</v>
      </c>
      <c r="AH134" s="1404"/>
      <c r="AI134" s="1394"/>
    </row>
    <row r="135" spans="1:35" s="1136" customFormat="1" ht="15.75" thickBot="1" x14ac:dyDescent="0.3">
      <c r="A135" s="1382"/>
      <c r="B135" s="1383"/>
      <c r="C135" s="1383"/>
      <c r="D135" s="1384"/>
      <c r="E135" s="1383"/>
      <c r="F135" s="1385"/>
      <c r="G135" s="1385"/>
      <c r="H135" s="1383"/>
      <c r="I135" s="1385"/>
      <c r="J135" s="1118"/>
      <c r="K135" s="1418"/>
      <c r="L135" s="1405"/>
      <c r="M135" s="1406"/>
      <c r="N135" s="1407"/>
      <c r="O135" s="1419" t="s">
        <v>66</v>
      </c>
      <c r="P135" s="1420"/>
      <c r="Q135" s="1421"/>
      <c r="R135" s="1392"/>
      <c r="S135" s="1393">
        <v>1801338</v>
      </c>
      <c r="T135" s="1394"/>
      <c r="U135" s="1395"/>
      <c r="V135" s="1396"/>
      <c r="W135" s="1397"/>
      <c r="X135" s="1396"/>
      <c r="Y135" s="1396"/>
      <c r="Z135" s="1396"/>
      <c r="AA135" s="1422"/>
      <c r="AB135" s="1423"/>
      <c r="AC135" s="1424"/>
      <c r="AD135" s="1425"/>
      <c r="AE135" s="1426"/>
      <c r="AF135" s="1427"/>
      <c r="AG135" s="1428"/>
      <c r="AH135" s="1404"/>
      <c r="AI135" s="1394"/>
    </row>
    <row r="136" spans="1:35" ht="15.75" thickBot="1" x14ac:dyDescent="0.3">
      <c r="A136" s="1429"/>
      <c r="B136" s="1430"/>
      <c r="C136" s="1430"/>
      <c r="D136" s="1430"/>
      <c r="E136" s="1430"/>
      <c r="F136" s="1431">
        <f>F23+F71+F85+F97</f>
        <v>19670947.559173834</v>
      </c>
      <c r="G136" s="1431">
        <v>984817.8</v>
      </c>
      <c r="H136" s="1430"/>
      <c r="I136" s="1431">
        <v>19670947.559173834</v>
      </c>
      <c r="K136" s="1432"/>
      <c r="L136" s="1429"/>
      <c r="M136" s="1433"/>
      <c r="N136" s="1434"/>
      <c r="O136" s="1435"/>
      <c r="P136" s="1430"/>
      <c r="Q136" s="1436"/>
      <c r="R136" s="1437"/>
      <c r="S136" s="1438">
        <f t="shared" ref="S136:Y136" si="17">S47+S71+S85+S97+S100+S114+S115+S125+S127+S129+S132+S134+S135</f>
        <v>29618752.079173833</v>
      </c>
      <c r="T136" s="1439">
        <f t="shared" si="17"/>
        <v>1250421.4799999997</v>
      </c>
      <c r="U136" s="1440">
        <f t="shared" si="17"/>
        <v>531.1</v>
      </c>
      <c r="V136" s="1439">
        <f t="shared" si="17"/>
        <v>19025500.382253543</v>
      </c>
      <c r="W136" s="1439">
        <f t="shared" si="17"/>
        <v>1066711.7634285714</v>
      </c>
      <c r="X136" s="1439">
        <f t="shared" si="17"/>
        <v>14185879.462253543</v>
      </c>
      <c r="Y136" s="1439">
        <f t="shared" si="17"/>
        <v>4839620.92</v>
      </c>
      <c r="Z136" s="1503"/>
      <c r="AA136" s="1441">
        <f t="shared" ref="AA136:AI136" si="18">AA47+AA71+AA85+AA97+AA100+AA114+AA115+AA125+AA127+AA129+AA132+AA134+AA135</f>
        <v>467.6</v>
      </c>
      <c r="AB136" s="1438" t="e">
        <f t="shared" si="18"/>
        <v>#VALUE!</v>
      </c>
      <c r="AC136" s="1438">
        <f t="shared" si="18"/>
        <v>47477195.394821718</v>
      </c>
      <c r="AD136" s="1439">
        <f t="shared" si="18"/>
        <v>2300782.3166703964</v>
      </c>
      <c r="AE136" s="1441" t="e">
        <f t="shared" si="18"/>
        <v>#VALUE!</v>
      </c>
      <c r="AF136" s="1438" t="e">
        <f t="shared" si="18"/>
        <v>#VALUE!</v>
      </c>
      <c r="AG136" s="1442" t="e">
        <f t="shared" si="18"/>
        <v>#VALUE!</v>
      </c>
      <c r="AH136" s="1443">
        <f t="shared" si="18"/>
        <v>11319969.610909091</v>
      </c>
      <c r="AI136" s="1439">
        <f t="shared" si="18"/>
        <v>2220860.92</v>
      </c>
    </row>
    <row r="137" spans="1:35" x14ac:dyDescent="0.2">
      <c r="F137" s="652"/>
      <c r="G137" s="652"/>
      <c r="I137" s="652"/>
      <c r="S137" s="653">
        <v>0</v>
      </c>
      <c r="T137" s="653">
        <v>0</v>
      </c>
      <c r="AH137" s="653">
        <v>0</v>
      </c>
      <c r="AI137" s="653">
        <v>0</v>
      </c>
    </row>
    <row r="138" spans="1:35" x14ac:dyDescent="0.2">
      <c r="A138" s="652"/>
      <c r="B138" s="652"/>
      <c r="C138" s="652"/>
      <c r="F138" s="652"/>
      <c r="G138" s="652"/>
      <c r="I138" s="652"/>
    </row>
    <row r="139" spans="1:35" x14ac:dyDescent="0.2">
      <c r="A139" s="652"/>
      <c r="B139" s="652"/>
      <c r="C139" s="652"/>
      <c r="F139" s="652"/>
      <c r="G139" s="652"/>
      <c r="I139" s="652"/>
      <c r="K139" s="1447">
        <f>AC136-K140</f>
        <v>35957770.894821718</v>
      </c>
      <c r="L139" s="1447"/>
      <c r="M139" s="1447"/>
      <c r="N139" s="1447"/>
      <c r="O139" s="1448" t="s">
        <v>1</v>
      </c>
      <c r="P139" s="1449">
        <f>1-P140</f>
        <v>0.75736931374728145</v>
      </c>
    </row>
    <row r="140" spans="1:35" x14ac:dyDescent="0.2">
      <c r="A140" s="652"/>
      <c r="B140" s="652"/>
      <c r="C140" s="652"/>
      <c r="F140" s="652"/>
      <c r="G140" s="652"/>
      <c r="I140" s="652"/>
      <c r="K140" s="1450">
        <f>SUM(AC115,AC101:AC105,AC87:AC90,AC73:AC77,AC49,AC51:AC52,AC54:AC58,)</f>
        <v>11519424.5</v>
      </c>
      <c r="L140" s="1450"/>
      <c r="M140" s="1450"/>
      <c r="N140" s="1450"/>
      <c r="O140" s="1448" t="s">
        <v>2</v>
      </c>
      <c r="P140" s="1449">
        <f>K140/AC136</f>
        <v>0.2426306862527185</v>
      </c>
    </row>
    <row r="141" spans="1:35" x14ac:dyDescent="0.2">
      <c r="A141" s="652"/>
      <c r="B141" s="652"/>
      <c r="C141" s="652"/>
      <c r="F141" s="652"/>
      <c r="G141" s="652"/>
      <c r="I141" s="652"/>
    </row>
    <row r="142" spans="1:35" ht="15.75" thickBot="1" x14ac:dyDescent="0.25"/>
    <row r="143" spans="1:35" x14ac:dyDescent="0.25">
      <c r="K143" s="1452" t="s">
        <v>735</v>
      </c>
      <c r="L143" s="1453"/>
      <c r="M143" s="1453"/>
      <c r="N143" s="1453"/>
      <c r="O143" s="1454">
        <f>AD136/0.15</f>
        <v>15338548.777802642</v>
      </c>
      <c r="P143" s="1455">
        <f>O143/AC136</f>
        <v>0.32307192221964315</v>
      </c>
      <c r="Q143" s="1452" t="s">
        <v>736</v>
      </c>
      <c r="AA143" s="653"/>
      <c r="AE143" s="1446"/>
      <c r="AF143" s="653"/>
    </row>
    <row r="144" spans="1:35" ht="15.75" thickBot="1" x14ac:dyDescent="0.25">
      <c r="K144" s="1456" t="s">
        <v>737</v>
      </c>
      <c r="L144" s="1457"/>
      <c r="M144" s="1457"/>
      <c r="N144" s="1457"/>
      <c r="O144" s="1458">
        <f>(AD103+AD90+AD80+AD76+AD51+AD55+AD56)/0.15</f>
        <v>2409926.0000000005</v>
      </c>
      <c r="P144" s="1459">
        <f>O144/O143</f>
        <v>0.15711564600476108</v>
      </c>
      <c r="Q144" s="1456" t="s">
        <v>738</v>
      </c>
      <c r="AA144" s="653"/>
      <c r="AE144" s="1446"/>
      <c r="AF144" s="653"/>
    </row>
    <row r="145" spans="1:35" ht="15.75" thickBot="1" x14ac:dyDescent="0.25">
      <c r="K145" s="1460" t="s">
        <v>739</v>
      </c>
      <c r="L145" s="1461"/>
      <c r="M145" s="1461"/>
      <c r="N145" s="1461"/>
      <c r="O145" s="1458">
        <f>O143-O144</f>
        <v>12928622.777802642</v>
      </c>
      <c r="P145" s="1462">
        <f>O145/O143</f>
        <v>0.84288435399523898</v>
      </c>
      <c r="Q145" s="1460" t="s">
        <v>738</v>
      </c>
      <c r="AA145" s="653"/>
      <c r="AE145" s="1446"/>
      <c r="AF145" s="653"/>
    </row>
    <row r="146" spans="1:35" ht="15.75" thickBot="1" x14ac:dyDescent="0.25">
      <c r="K146" s="1460" t="s">
        <v>740</v>
      </c>
      <c r="L146" s="1461"/>
      <c r="M146" s="1461"/>
      <c r="N146" s="1461"/>
      <c r="O146" s="1458">
        <f>O143-AD136</f>
        <v>13037766.461132247</v>
      </c>
      <c r="P146" s="1462"/>
      <c r="Q146" s="1460"/>
    </row>
    <row r="147" spans="1:35" x14ac:dyDescent="0.2">
      <c r="O147" s="1463"/>
    </row>
    <row r="148" spans="1:35" x14ac:dyDescent="0.2">
      <c r="K148" s="1464" t="s">
        <v>741</v>
      </c>
      <c r="L148" s="1464"/>
      <c r="M148" s="1464"/>
      <c r="N148" s="1464"/>
      <c r="O148" s="1465" t="e">
        <f>AC136-#REF!</f>
        <v>#REF!</v>
      </c>
    </row>
    <row r="150" spans="1:35" x14ac:dyDescent="0.2">
      <c r="K150" s="1466">
        <v>5000000</v>
      </c>
      <c r="L150" s="1466"/>
      <c r="M150" s="1466"/>
      <c r="N150" s="1466"/>
      <c r="O150" s="1467" t="s">
        <v>742</v>
      </c>
    </row>
    <row r="155" spans="1:35" ht="30" customHeight="1" x14ac:dyDescent="0.2">
      <c r="A155" s="652"/>
      <c r="B155" s="652"/>
      <c r="C155" s="652"/>
      <c r="F155" s="652"/>
      <c r="G155" s="652"/>
      <c r="I155" s="652"/>
      <c r="K155" s="3094"/>
      <c r="L155" s="3094"/>
      <c r="M155" s="3094"/>
      <c r="N155" s="3094"/>
      <c r="O155" s="3094"/>
      <c r="P155" s="652"/>
      <c r="R155" s="652"/>
      <c r="S155" s="652"/>
      <c r="T155" s="652"/>
      <c r="U155" s="652"/>
      <c r="V155" s="652"/>
      <c r="W155" s="652"/>
      <c r="X155" s="652"/>
      <c r="Y155" s="652"/>
      <c r="Z155" s="652"/>
      <c r="AA155" s="652"/>
      <c r="AB155" s="652"/>
      <c r="AC155" s="652"/>
      <c r="AD155" s="652"/>
      <c r="AE155" s="652"/>
      <c r="AF155" s="652"/>
      <c r="AG155" s="652"/>
      <c r="AH155" s="652"/>
      <c r="AI155" s="652"/>
    </row>
  </sheetData>
  <mergeCells count="54">
    <mergeCell ref="K130:K132"/>
    <mergeCell ref="K133:K134"/>
    <mergeCell ref="K155:O155"/>
    <mergeCell ref="K116:K121"/>
    <mergeCell ref="K98:K100"/>
    <mergeCell ref="K101:K114"/>
    <mergeCell ref="O107:O108"/>
    <mergeCell ref="K122:K125"/>
    <mergeCell ref="K126:K127"/>
    <mergeCell ref="K128:K129"/>
    <mergeCell ref="A72:A85"/>
    <mergeCell ref="K72:K85"/>
    <mergeCell ref="B78:B79"/>
    <mergeCell ref="O78:O79"/>
    <mergeCell ref="A86:A97"/>
    <mergeCell ref="K86:K97"/>
    <mergeCell ref="B91:B92"/>
    <mergeCell ref="O91:O92"/>
    <mergeCell ref="O35:O36"/>
    <mergeCell ref="O37:O40"/>
    <mergeCell ref="A48:A71"/>
    <mergeCell ref="B48:B50"/>
    <mergeCell ref="K48:K71"/>
    <mergeCell ref="O48:O50"/>
    <mergeCell ref="B53:B54"/>
    <mergeCell ref="O53:O54"/>
    <mergeCell ref="B59:B63"/>
    <mergeCell ref="O59:O63"/>
    <mergeCell ref="K24:K46"/>
    <mergeCell ref="O24:O26"/>
    <mergeCell ref="O27:O29"/>
    <mergeCell ref="O30:O31"/>
    <mergeCell ref="O32:O34"/>
    <mergeCell ref="AH2:AI2"/>
    <mergeCell ref="A4:A23"/>
    <mergeCell ref="B4:B6"/>
    <mergeCell ref="K4:K23"/>
    <mergeCell ref="O4:O6"/>
    <mergeCell ref="B7:B9"/>
    <mergeCell ref="O7:O9"/>
    <mergeCell ref="B10:B11"/>
    <mergeCell ref="O10:O11"/>
    <mergeCell ref="B12:B14"/>
    <mergeCell ref="O12:O14"/>
    <mergeCell ref="B15:B16"/>
    <mergeCell ref="O15:O16"/>
    <mergeCell ref="B17:B20"/>
    <mergeCell ref="O17:O20"/>
    <mergeCell ref="A1:I1"/>
    <mergeCell ref="K1:AG1"/>
    <mergeCell ref="L2:N2"/>
    <mergeCell ref="R2:T2"/>
    <mergeCell ref="U2:W2"/>
    <mergeCell ref="AA2:AD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X142"/>
  <sheetViews>
    <sheetView rightToLeft="1" zoomScaleNormal="100" workbookViewId="0">
      <pane ySplit="1" topLeftCell="A98" activePane="bottomLeft" state="frozen"/>
      <selection activeCell="A101" sqref="A101"/>
      <selection pane="bottomLeft" activeCell="S104" sqref="S104"/>
    </sheetView>
  </sheetViews>
  <sheetFormatPr defaultRowHeight="15" x14ac:dyDescent="0.25"/>
  <cols>
    <col min="1" max="1" width="2.875" style="201" hidden="1" customWidth="1"/>
    <col min="2" max="2" width="28.125" style="303" hidden="1" customWidth="1"/>
    <col min="3" max="3" width="15.125" hidden="1" customWidth="1"/>
    <col min="4" max="4" width="13.875" hidden="1" customWidth="1"/>
    <col min="5" max="6" width="13.125" hidden="1" customWidth="1"/>
    <col min="7" max="7" width="2.25" hidden="1" customWidth="1"/>
    <col min="8" max="8" width="12.75" hidden="1" customWidth="1"/>
    <col min="9" max="9" width="13.875" hidden="1" customWidth="1"/>
    <col min="10" max="10" width="10.875" hidden="1" customWidth="1"/>
    <col min="11" max="13" width="9" hidden="1" customWidth="1"/>
    <col min="14" max="14" width="3.625" customWidth="1"/>
    <col min="15" max="15" width="29.5" customWidth="1"/>
    <col min="18" max="18" width="17.25" customWidth="1"/>
    <col min="19" max="19" width="12.375" customWidth="1"/>
    <col min="20" max="20" width="2.375" customWidth="1"/>
    <col min="21" max="21" width="9" customWidth="1"/>
    <col min="22" max="22" width="12.5" customWidth="1"/>
    <col min="23" max="23" width="3.625" hidden="1" customWidth="1"/>
    <col min="24" max="24" width="15.375" style="2900" hidden="1" customWidth="1"/>
    <col min="25" max="25" width="11.5" style="2900" hidden="1" customWidth="1"/>
    <col min="26" max="26" width="12.375" style="2900" hidden="1" customWidth="1"/>
    <col min="27" max="27" width="12.125" style="2900" hidden="1" customWidth="1"/>
    <col min="28" max="28" width="1.875" style="2900" hidden="1" customWidth="1"/>
    <col min="29" max="29" width="9.25" style="2900" hidden="1" customWidth="1"/>
    <col min="30" max="30" width="12.875" style="2900" hidden="1" customWidth="1"/>
    <col min="34" max="34" width="11" bestFit="1" customWidth="1"/>
    <col min="35" max="35" width="7.25" customWidth="1"/>
    <col min="36" max="36" width="6" customWidth="1"/>
    <col min="37" max="37" width="10" bestFit="1" customWidth="1"/>
    <col min="38" max="38" width="6" customWidth="1"/>
    <col min="39" max="39" width="7.125" customWidth="1"/>
    <col min="40" max="40" width="9.25" bestFit="1" customWidth="1"/>
    <col min="41" max="41" width="11" bestFit="1" customWidth="1"/>
    <col min="42" max="44" width="9.25" bestFit="1" customWidth="1"/>
    <col min="45" max="47" width="9.25" customWidth="1"/>
    <col min="48" max="48" width="10" bestFit="1" customWidth="1"/>
  </cols>
  <sheetData>
    <row r="1" spans="1:50" ht="30.75" thickBot="1" x14ac:dyDescent="0.3">
      <c r="A1" s="571"/>
      <c r="B1" s="388"/>
      <c r="C1" s="388"/>
      <c r="D1" s="388"/>
      <c r="E1" s="92" t="s">
        <v>75</v>
      </c>
      <c r="F1" s="92" t="s">
        <v>76</v>
      </c>
      <c r="G1" s="388"/>
      <c r="H1" s="388"/>
      <c r="J1">
        <v>3.8</v>
      </c>
      <c r="AH1" s="293"/>
      <c r="AI1" s="293"/>
      <c r="AJ1" s="293"/>
      <c r="AK1" s="293"/>
      <c r="AL1" s="293"/>
      <c r="AM1" s="293"/>
      <c r="AN1" s="293"/>
      <c r="AO1" s="293"/>
      <c r="AP1" s="293"/>
      <c r="AQ1" s="293"/>
      <c r="AR1" s="293"/>
      <c r="AS1" s="293"/>
      <c r="AT1" s="293"/>
      <c r="AU1" s="293"/>
      <c r="AV1" s="293"/>
      <c r="AW1" s="293"/>
      <c r="AX1" s="293"/>
    </row>
    <row r="2" spans="1:50" ht="15" customHeight="1" x14ac:dyDescent="0.25">
      <c r="A2" s="182">
        <v>1</v>
      </c>
      <c r="B2" s="183" t="s">
        <v>415</v>
      </c>
      <c r="C2" s="3274" t="s">
        <v>398</v>
      </c>
      <c r="D2" s="3275"/>
      <c r="E2" s="3276"/>
      <c r="F2" s="184"/>
      <c r="G2" s="6"/>
      <c r="H2" s="3282" t="s">
        <v>88</v>
      </c>
      <c r="I2" s="3283"/>
      <c r="K2" s="389"/>
      <c r="N2" s="182">
        <v>1</v>
      </c>
      <c r="O2" s="183" t="s">
        <v>777</v>
      </c>
      <c r="P2" s="3186" t="s">
        <v>812</v>
      </c>
      <c r="Q2" s="3186"/>
      <c r="R2" s="3186"/>
      <c r="S2" s="2151"/>
      <c r="T2" s="451"/>
      <c r="U2" s="3272" t="s">
        <v>88</v>
      </c>
      <c r="V2" s="3273"/>
      <c r="X2" s="3300" t="s">
        <v>506</v>
      </c>
      <c r="Y2" s="3300"/>
      <c r="Z2" s="3300"/>
      <c r="AA2" s="2901"/>
      <c r="AB2" s="2902"/>
      <c r="AC2" s="3295" t="s">
        <v>88</v>
      </c>
      <c r="AD2" s="3296"/>
    </row>
    <row r="3" spans="1:50" ht="60" x14ac:dyDescent="0.25">
      <c r="A3" s="185"/>
      <c r="B3" s="187" t="s">
        <v>89</v>
      </c>
      <c r="C3" s="186" t="s">
        <v>90</v>
      </c>
      <c r="D3" s="186" t="s">
        <v>91</v>
      </c>
      <c r="E3" s="186" t="s">
        <v>92</v>
      </c>
      <c r="F3" s="186" t="s">
        <v>106</v>
      </c>
      <c r="G3" s="5"/>
      <c r="H3" s="187" t="s">
        <v>54</v>
      </c>
      <c r="I3" s="188" t="s">
        <v>92</v>
      </c>
      <c r="N3" s="185"/>
      <c r="O3" s="187" t="s">
        <v>89</v>
      </c>
      <c r="P3" s="186" t="s">
        <v>90</v>
      </c>
      <c r="Q3" s="186" t="s">
        <v>91</v>
      </c>
      <c r="R3" s="453" t="s">
        <v>502</v>
      </c>
      <c r="S3" s="499"/>
      <c r="T3" s="456"/>
      <c r="U3" s="187" t="s">
        <v>54</v>
      </c>
      <c r="V3" s="455" t="s">
        <v>502</v>
      </c>
      <c r="X3" s="2903" t="s">
        <v>90</v>
      </c>
      <c r="Y3" s="2903" t="s">
        <v>91</v>
      </c>
      <c r="Z3" s="2903" t="s">
        <v>507</v>
      </c>
      <c r="AA3" s="2903"/>
      <c r="AB3" s="2904"/>
      <c r="AC3" s="2905" t="s">
        <v>54</v>
      </c>
      <c r="AD3" s="2906" t="s">
        <v>507</v>
      </c>
    </row>
    <row r="4" spans="1:50" ht="30" x14ac:dyDescent="0.25">
      <c r="A4" s="185"/>
      <c r="B4" s="390" t="s">
        <v>416</v>
      </c>
      <c r="C4" s="190">
        <v>2</v>
      </c>
      <c r="D4" s="190"/>
      <c r="E4" s="190"/>
      <c r="F4" s="190"/>
      <c r="G4" s="5"/>
      <c r="H4" s="191"/>
      <c r="I4" s="192"/>
      <c r="N4" s="185"/>
      <c r="O4" s="189" t="s">
        <v>821</v>
      </c>
      <c r="P4" s="190">
        <v>3</v>
      </c>
      <c r="Q4" s="190"/>
      <c r="R4" s="190"/>
      <c r="S4" s="190"/>
      <c r="T4" s="456"/>
      <c r="U4" s="457"/>
      <c r="V4" s="458"/>
      <c r="X4" s="2899">
        <f t="shared" ref="X4:AA8" si="0">P4-C4</f>
        <v>1</v>
      </c>
      <c r="Y4" s="2899">
        <f t="shared" si="0"/>
        <v>0</v>
      </c>
      <c r="Z4" s="2899">
        <f t="shared" si="0"/>
        <v>0</v>
      </c>
      <c r="AA4" s="2899">
        <f t="shared" si="0"/>
        <v>0</v>
      </c>
      <c r="AB4" s="2907"/>
      <c r="AC4" s="2899">
        <f t="shared" ref="AC4:AD8" si="1">U4-H4</f>
        <v>0</v>
      </c>
      <c r="AD4" s="2899">
        <f t="shared" si="1"/>
        <v>0</v>
      </c>
    </row>
    <row r="5" spans="1:50" ht="14.25" x14ac:dyDescent="0.2">
      <c r="A5" s="185"/>
      <c r="B5" s="391" t="s">
        <v>417</v>
      </c>
      <c r="C5" s="392">
        <f>12*C4</f>
        <v>24</v>
      </c>
      <c r="D5" s="193">
        <f>2200*$J$1</f>
        <v>8360</v>
      </c>
      <c r="E5" s="231">
        <f>+D5*C5</f>
        <v>200640</v>
      </c>
      <c r="F5" s="231"/>
      <c r="G5" s="5"/>
      <c r="H5" s="191"/>
      <c r="I5" s="192"/>
      <c r="N5" s="185"/>
      <c r="O5" s="391" t="s">
        <v>664</v>
      </c>
      <c r="P5" s="392">
        <f>7+7+5</f>
        <v>19</v>
      </c>
      <c r="Q5" s="193">
        <f>2200*$J$1</f>
        <v>8360</v>
      </c>
      <c r="R5" s="459">
        <f>+Q5*P5</f>
        <v>158840</v>
      </c>
      <c r="S5" s="459"/>
      <c r="T5" s="456"/>
      <c r="U5" s="457"/>
      <c r="V5" s="458"/>
      <c r="X5" s="2899">
        <f t="shared" si="0"/>
        <v>-5</v>
      </c>
      <c r="Y5" s="2899">
        <f t="shared" si="0"/>
        <v>0</v>
      </c>
      <c r="Z5" s="2899">
        <f t="shared" si="0"/>
        <v>-41800</v>
      </c>
      <c r="AA5" s="2899">
        <f t="shared" si="0"/>
        <v>0</v>
      </c>
      <c r="AB5" s="2907"/>
      <c r="AC5" s="2899">
        <f t="shared" si="1"/>
        <v>0</v>
      </c>
      <c r="AD5" s="2899">
        <f t="shared" si="1"/>
        <v>0</v>
      </c>
      <c r="AH5" s="91"/>
      <c r="AI5" s="91"/>
      <c r="AJ5" s="91"/>
    </row>
    <row r="6" spans="1:50" ht="28.5" x14ac:dyDescent="0.2">
      <c r="A6" s="185"/>
      <c r="B6" s="226" t="s">
        <v>529</v>
      </c>
      <c r="C6" s="231">
        <f>+C5*7</f>
        <v>168</v>
      </c>
      <c r="D6" s="193">
        <f>(60+180+20)*$J$1</f>
        <v>988</v>
      </c>
      <c r="E6" s="231">
        <f>+D6*C6</f>
        <v>165984</v>
      </c>
      <c r="F6" s="231"/>
      <c r="G6" s="5"/>
      <c r="H6" s="191"/>
      <c r="I6" s="192"/>
      <c r="N6" s="185"/>
      <c r="O6" s="226" t="s">
        <v>784</v>
      </c>
      <c r="P6" s="231">
        <f>+P5*14</f>
        <v>266</v>
      </c>
      <c r="Q6" s="460">
        <f>(60+120+20)*$J$1</f>
        <v>760</v>
      </c>
      <c r="R6" s="459">
        <f>+Q6*P6</f>
        <v>202160</v>
      </c>
      <c r="S6" s="459"/>
      <c r="T6" s="456"/>
      <c r="U6" s="457"/>
      <c r="V6" s="458"/>
      <c r="X6" s="2899">
        <f t="shared" si="0"/>
        <v>98</v>
      </c>
      <c r="Y6" s="2899">
        <f t="shared" si="0"/>
        <v>-228</v>
      </c>
      <c r="Z6" s="2899">
        <f t="shared" si="0"/>
        <v>36176</v>
      </c>
      <c r="AA6" s="2899">
        <f t="shared" si="0"/>
        <v>0</v>
      </c>
      <c r="AB6" s="2907"/>
      <c r="AC6" s="2899">
        <f t="shared" si="1"/>
        <v>0</v>
      </c>
      <c r="AD6" s="2899">
        <f t="shared" si="1"/>
        <v>0</v>
      </c>
      <c r="AH6" s="91"/>
      <c r="AI6" s="91"/>
      <c r="AJ6" s="91"/>
      <c r="AQ6" s="91"/>
    </row>
    <row r="7" spans="1:50" ht="14.25" x14ac:dyDescent="0.2">
      <c r="A7" s="185"/>
      <c r="B7" s="290" t="s">
        <v>419</v>
      </c>
      <c r="C7" s="393">
        <f>2*7*C4</f>
        <v>28</v>
      </c>
      <c r="D7" s="193">
        <f>350*$J$1</f>
        <v>1330</v>
      </c>
      <c r="E7" s="193">
        <f>+D7*C7</f>
        <v>37240</v>
      </c>
      <c r="F7" s="193"/>
      <c r="G7" s="5"/>
      <c r="H7" s="191"/>
      <c r="I7" s="192"/>
      <c r="N7" s="185"/>
      <c r="O7" s="290" t="s">
        <v>419</v>
      </c>
      <c r="P7" s="459">
        <v>47</v>
      </c>
      <c r="Q7" s="193">
        <f>350*$J$1</f>
        <v>1330</v>
      </c>
      <c r="R7" s="459">
        <f>+Q7*P7</f>
        <v>62510</v>
      </c>
      <c r="S7" s="460"/>
      <c r="T7" s="456"/>
      <c r="U7" s="457"/>
      <c r="V7" s="458"/>
      <c r="X7" s="2899">
        <f t="shared" si="0"/>
        <v>19</v>
      </c>
      <c r="Y7" s="2899">
        <f t="shared" si="0"/>
        <v>0</v>
      </c>
      <c r="Z7" s="2899">
        <f t="shared" si="0"/>
        <v>25270</v>
      </c>
      <c r="AA7" s="2899">
        <f t="shared" si="0"/>
        <v>0</v>
      </c>
      <c r="AB7" s="2907"/>
      <c r="AC7" s="2899">
        <f t="shared" si="1"/>
        <v>0</v>
      </c>
      <c r="AD7" s="2899">
        <f t="shared" si="1"/>
        <v>0</v>
      </c>
      <c r="AV7" s="91"/>
    </row>
    <row r="8" spans="1:50" ht="57" x14ac:dyDescent="0.2">
      <c r="A8" s="185"/>
      <c r="B8" s="226" t="s">
        <v>833</v>
      </c>
      <c r="C8" s="193">
        <v>3</v>
      </c>
      <c r="D8" s="193">
        <f>3000*$J$1+5000*J1</f>
        <v>30400</v>
      </c>
      <c r="E8" s="193">
        <f>+D8*C8</f>
        <v>91200</v>
      </c>
      <c r="F8" s="193"/>
      <c r="G8" s="5"/>
      <c r="H8" s="191"/>
      <c r="I8" s="192"/>
      <c r="N8" s="185"/>
      <c r="O8" s="226" t="s">
        <v>832</v>
      </c>
      <c r="P8" s="193">
        <v>5</v>
      </c>
      <c r="Q8" s="193">
        <f>3000*$J$1+5000*$J$1</f>
        <v>30400</v>
      </c>
      <c r="R8" s="459">
        <f>+Q8*P8</f>
        <v>152000</v>
      </c>
      <c r="S8" s="460"/>
      <c r="T8" s="456"/>
      <c r="U8" s="457"/>
      <c r="V8" s="458"/>
      <c r="X8" s="2899">
        <f t="shared" si="0"/>
        <v>2</v>
      </c>
      <c r="Y8" s="2899">
        <f t="shared" si="0"/>
        <v>0</v>
      </c>
      <c r="Z8" s="2899">
        <f t="shared" si="0"/>
        <v>60800</v>
      </c>
      <c r="AA8" s="2899">
        <f t="shared" si="0"/>
        <v>0</v>
      </c>
      <c r="AB8" s="2907"/>
      <c r="AC8" s="2899">
        <f t="shared" si="1"/>
        <v>0</v>
      </c>
      <c r="AD8" s="2899">
        <f t="shared" si="1"/>
        <v>0</v>
      </c>
      <c r="AO8" s="91"/>
    </row>
    <row r="9" spans="1:50" ht="15.75" thickBot="1" x14ac:dyDescent="0.3">
      <c r="A9" s="200"/>
      <c r="B9" s="384" t="s">
        <v>13</v>
      </c>
      <c r="C9" s="234"/>
      <c r="D9" s="234"/>
      <c r="E9" s="235">
        <f>SUM(E5:E8)</f>
        <v>495064</v>
      </c>
      <c r="F9" s="235"/>
      <c r="G9" s="7"/>
      <c r="H9" s="237"/>
      <c r="I9" s="292"/>
      <c r="N9" s="185"/>
      <c r="O9" s="373" t="s">
        <v>13</v>
      </c>
      <c r="P9" s="461"/>
      <c r="Q9" s="461"/>
      <c r="R9" s="235">
        <f>SUM(R5:R8)</f>
        <v>575510</v>
      </c>
      <c r="S9" s="197"/>
      <c r="T9" s="456"/>
      <c r="U9" s="462"/>
      <c r="V9" s="199"/>
      <c r="X9" s="2908"/>
      <c r="Y9" s="2908"/>
      <c r="Z9" s="2909">
        <f>SUM(Z6:Z8)</f>
        <v>122246</v>
      </c>
      <c r="AA9" s="2909">
        <f>SUM(AA6:AA8)</f>
        <v>0</v>
      </c>
      <c r="AB9" s="2908"/>
      <c r="AC9" s="2910"/>
      <c r="AD9" s="2909">
        <f>SUM(AD6:AD8)</f>
        <v>0</v>
      </c>
    </row>
    <row r="10" spans="1:50" x14ac:dyDescent="0.25">
      <c r="A10" s="464"/>
      <c r="B10" s="395" t="s">
        <v>421</v>
      </c>
      <c r="C10" s="395"/>
      <c r="D10" s="395"/>
      <c r="E10" s="395"/>
      <c r="F10" s="395"/>
      <c r="G10" s="395"/>
      <c r="H10" s="395"/>
      <c r="I10" s="396"/>
      <c r="N10" s="185"/>
      <c r="O10" s="3307" t="s">
        <v>523</v>
      </c>
      <c r="P10" s="3308"/>
      <c r="Q10" s="3308"/>
      <c r="R10" s="3308"/>
      <c r="S10" s="3308"/>
      <c r="T10" s="3308"/>
      <c r="U10" s="3309"/>
      <c r="V10" s="463"/>
    </row>
    <row r="11" spans="1:50" x14ac:dyDescent="0.25">
      <c r="A11" s="185"/>
      <c r="B11" s="3332" t="s">
        <v>422</v>
      </c>
      <c r="C11" s="3333"/>
      <c r="D11" s="3333"/>
      <c r="E11" s="3333"/>
      <c r="F11" s="3333"/>
      <c r="G11" s="3333"/>
      <c r="H11" s="3334"/>
      <c r="I11" s="397"/>
      <c r="N11" s="185"/>
      <c r="O11" s="3310" t="s">
        <v>524</v>
      </c>
      <c r="P11" s="3310"/>
      <c r="Q11" s="3310"/>
      <c r="R11" s="3310"/>
      <c r="S11" s="3310"/>
      <c r="T11" s="3310"/>
      <c r="U11" s="3310"/>
      <c r="V11" s="463"/>
    </row>
    <row r="12" spans="1:50" ht="15.75" customHeight="1" thickBot="1" x14ac:dyDescent="0.3">
      <c r="A12" s="200"/>
      <c r="B12" s="3329" t="s">
        <v>423</v>
      </c>
      <c r="C12" s="3330"/>
      <c r="D12" s="3330"/>
      <c r="E12" s="3330"/>
      <c r="F12" s="3330"/>
      <c r="G12" s="3330"/>
      <c r="H12" s="3331"/>
      <c r="I12" s="398"/>
      <c r="N12" s="185"/>
      <c r="O12" s="3311" t="s">
        <v>525</v>
      </c>
      <c r="P12" s="3311"/>
      <c r="Q12" s="3311"/>
      <c r="R12" s="3311"/>
      <c r="S12" s="3311"/>
      <c r="T12" s="3311"/>
      <c r="U12" s="3311"/>
      <c r="V12" s="397"/>
    </row>
    <row r="13" spans="1:50" ht="15.75" customHeight="1" thickBot="1" x14ac:dyDescent="0.3">
      <c r="B13" s="465"/>
      <c r="C13" s="465"/>
      <c r="D13" s="465"/>
      <c r="E13" s="465"/>
      <c r="F13" s="465"/>
      <c r="G13" s="465"/>
      <c r="H13" s="465"/>
      <c r="I13" s="202"/>
      <c r="N13" s="200"/>
      <c r="O13" s="3297" t="s">
        <v>526</v>
      </c>
      <c r="P13" s="3298"/>
      <c r="Q13" s="3298"/>
      <c r="R13" s="3298"/>
      <c r="S13" s="3298"/>
      <c r="T13" s="3298"/>
      <c r="U13" s="3299"/>
      <c r="V13" s="450"/>
    </row>
    <row r="14" spans="1:50" s="44" customFormat="1" x14ac:dyDescent="0.25">
      <c r="A14" s="201"/>
      <c r="B14" s="465"/>
      <c r="C14" s="465"/>
      <c r="D14" s="465"/>
      <c r="E14" s="465"/>
      <c r="F14" s="465"/>
      <c r="G14" s="465"/>
      <c r="H14" s="465"/>
      <c r="I14" s="202"/>
      <c r="J14"/>
      <c r="R14" s="407"/>
      <c r="X14" s="2911"/>
      <c r="Y14" s="2911"/>
      <c r="Z14" s="2911"/>
      <c r="AA14" s="2911"/>
      <c r="AB14" s="2911"/>
      <c r="AC14" s="2911"/>
      <c r="AD14" s="2911"/>
    </row>
    <row r="15" spans="1:50" s="44" customFormat="1" ht="15.75" thickBot="1" x14ac:dyDescent="0.3">
      <c r="A15" s="201"/>
      <c r="B15" s="202"/>
      <c r="C15" s="202"/>
      <c r="D15" s="202"/>
      <c r="E15" s="202"/>
      <c r="F15" s="202"/>
      <c r="G15" s="202"/>
      <c r="H15" s="202"/>
      <c r="I15" s="202"/>
      <c r="J15"/>
      <c r="X15" s="2911"/>
      <c r="Y15" s="2911"/>
      <c r="Z15" s="2911"/>
      <c r="AA15" s="2911"/>
      <c r="AB15" s="2911"/>
      <c r="AC15" s="2911"/>
      <c r="AD15" s="2911"/>
    </row>
    <row r="16" spans="1:50" ht="15" customHeight="1" x14ac:dyDescent="0.25">
      <c r="A16" s="210">
        <v>2</v>
      </c>
      <c r="B16" s="211" t="s">
        <v>57</v>
      </c>
      <c r="C16" s="3274" t="s">
        <v>410</v>
      </c>
      <c r="D16" s="3275"/>
      <c r="E16" s="3276"/>
      <c r="F16" s="184"/>
      <c r="G16" s="6"/>
      <c r="H16" s="3282" t="s">
        <v>88</v>
      </c>
      <c r="I16" s="3283"/>
      <c r="J16" s="44"/>
      <c r="N16" s="210">
        <v>2</v>
      </c>
      <c r="O16" s="211" t="s">
        <v>57</v>
      </c>
      <c r="P16" s="3186" t="s">
        <v>812</v>
      </c>
      <c r="Q16" s="3186"/>
      <c r="R16" s="3186"/>
      <c r="S16" s="2151"/>
      <c r="T16" s="6"/>
      <c r="U16" s="3272" t="s">
        <v>88</v>
      </c>
      <c r="V16" s="3273"/>
      <c r="X16" s="3300" t="s">
        <v>506</v>
      </c>
      <c r="Y16" s="3300"/>
      <c r="Z16" s="3300"/>
      <c r="AA16" s="2901"/>
      <c r="AB16" s="2902"/>
      <c r="AC16" s="3295" t="s">
        <v>88</v>
      </c>
      <c r="AD16" s="3296"/>
    </row>
    <row r="17" spans="1:48" ht="60" x14ac:dyDescent="0.25">
      <c r="A17" s="212"/>
      <c r="B17" s="187" t="s">
        <v>89</v>
      </c>
      <c r="C17" s="187" t="s">
        <v>54</v>
      </c>
      <c r="D17" s="186" t="s">
        <v>91</v>
      </c>
      <c r="E17" s="186" t="s">
        <v>92</v>
      </c>
      <c r="F17" s="186" t="s">
        <v>106</v>
      </c>
      <c r="G17" s="194"/>
      <c r="H17" s="187" t="s">
        <v>54</v>
      </c>
      <c r="I17" s="188" t="s">
        <v>92</v>
      </c>
      <c r="J17" s="44"/>
      <c r="N17" s="371"/>
      <c r="O17" s="187" t="s">
        <v>89</v>
      </c>
      <c r="P17" s="186" t="s">
        <v>54</v>
      </c>
      <c r="Q17" s="186" t="s">
        <v>91</v>
      </c>
      <c r="R17" s="186" t="s">
        <v>105</v>
      </c>
      <c r="S17" s="186" t="s">
        <v>106</v>
      </c>
      <c r="T17" s="194"/>
      <c r="U17" s="187" t="s">
        <v>54</v>
      </c>
      <c r="V17" s="188" t="s">
        <v>92</v>
      </c>
      <c r="X17" s="2903" t="s">
        <v>90</v>
      </c>
      <c r="Y17" s="2903" t="s">
        <v>91</v>
      </c>
      <c r="Z17" s="2903" t="s">
        <v>507</v>
      </c>
      <c r="AA17" s="2903"/>
      <c r="AB17" s="2904"/>
      <c r="AC17" s="2905" t="s">
        <v>54</v>
      </c>
      <c r="AD17" s="2906" t="s">
        <v>507</v>
      </c>
      <c r="AO17" s="91"/>
    </row>
    <row r="18" spans="1:48" x14ac:dyDescent="0.25">
      <c r="A18" s="67"/>
      <c r="B18" s="218" t="s">
        <v>111</v>
      </c>
      <c r="C18" s="219">
        <v>15</v>
      </c>
      <c r="D18" s="219"/>
      <c r="E18" s="220"/>
      <c r="F18" s="220"/>
      <c r="G18" s="194"/>
      <c r="H18" s="400"/>
      <c r="I18" s="397"/>
      <c r="N18" s="275"/>
      <c r="O18" s="218" t="s">
        <v>893</v>
      </c>
      <c r="P18" s="219">
        <f>25+10</f>
        <v>35</v>
      </c>
      <c r="Q18" s="219"/>
      <c r="R18" s="220"/>
      <c r="S18" s="68"/>
      <c r="T18" s="194"/>
      <c r="U18" s="400"/>
      <c r="V18" s="397"/>
      <c r="X18" s="595">
        <f t="shared" ref="X18:X26" si="2">P18-C18</f>
        <v>20</v>
      </c>
      <c r="Y18" s="595">
        <f t="shared" ref="Y18:Y26" si="3">Q18-D18</f>
        <v>0</v>
      </c>
      <c r="Z18" s="2899">
        <f t="shared" ref="Z18:Z26" si="4">R18-E18</f>
        <v>0</v>
      </c>
      <c r="AA18" s="2899">
        <f t="shared" ref="AA18:AA26" si="5">S18-F18</f>
        <v>0</v>
      </c>
      <c r="AB18" s="2907"/>
      <c r="AC18" s="2899">
        <f t="shared" ref="AC18:AC30" si="6">U18-H18</f>
        <v>0</v>
      </c>
      <c r="AD18" s="2899">
        <f t="shared" ref="AD18:AD30" si="7">V18-I18</f>
        <v>0</v>
      </c>
      <c r="AS18" s="91"/>
    </row>
    <row r="19" spans="1:48" ht="57" x14ac:dyDescent="0.25">
      <c r="A19" s="67"/>
      <c r="B19" s="221" t="s">
        <v>829</v>
      </c>
      <c r="C19" s="222">
        <v>15</v>
      </c>
      <c r="D19" s="559">
        <f>67900/15</f>
        <v>4526.666666666667</v>
      </c>
      <c r="E19" s="222">
        <f>C19*D19</f>
        <v>67900</v>
      </c>
      <c r="F19" s="222"/>
      <c r="G19" s="194"/>
      <c r="H19" s="400"/>
      <c r="I19" s="397"/>
      <c r="N19" s="275"/>
      <c r="O19" s="221" t="s">
        <v>829</v>
      </c>
      <c r="P19" s="559">
        <f>P18</f>
        <v>35</v>
      </c>
      <c r="Q19" s="559">
        <f>127500/35</f>
        <v>3642.8571428571427</v>
      </c>
      <c r="R19" s="559">
        <f>P19*Q19</f>
        <v>127500</v>
      </c>
      <c r="S19" s="68"/>
      <c r="T19" s="194"/>
      <c r="U19" s="400"/>
      <c r="V19" s="397"/>
      <c r="X19" s="2899">
        <f t="shared" si="2"/>
        <v>20</v>
      </c>
      <c r="Y19" s="2899">
        <f t="shared" si="3"/>
        <v>-883.80952380952431</v>
      </c>
      <c r="Z19" s="2899">
        <f t="shared" si="4"/>
        <v>59600</v>
      </c>
      <c r="AA19" s="2899">
        <f t="shared" si="5"/>
        <v>0</v>
      </c>
      <c r="AB19" s="2907"/>
      <c r="AC19" s="2899">
        <f t="shared" si="6"/>
        <v>0</v>
      </c>
      <c r="AD19" s="2899">
        <f t="shared" si="7"/>
        <v>0</v>
      </c>
      <c r="AS19" s="91"/>
    </row>
    <row r="20" spans="1:48" x14ac:dyDescent="0.25">
      <c r="A20" s="67"/>
      <c r="B20" s="221" t="s">
        <v>112</v>
      </c>
      <c r="C20" s="222">
        <f>$C$18</f>
        <v>15</v>
      </c>
      <c r="D20" s="193">
        <v>25460</v>
      </c>
      <c r="E20" s="222">
        <f>C20*D20</f>
        <v>381900</v>
      </c>
      <c r="F20" s="222"/>
      <c r="G20" s="194"/>
      <c r="H20" s="400"/>
      <c r="I20" s="397"/>
      <c r="N20" s="275"/>
      <c r="O20" s="221" t="s">
        <v>112</v>
      </c>
      <c r="P20" s="559">
        <f>P18</f>
        <v>35</v>
      </c>
      <c r="Q20" s="193">
        <f>6700*J1</f>
        <v>25460</v>
      </c>
      <c r="R20" s="559">
        <f>P20*Q20</f>
        <v>891100</v>
      </c>
      <c r="S20" s="68"/>
      <c r="T20" s="194"/>
      <c r="U20" s="400"/>
      <c r="V20" s="397"/>
      <c r="X20" s="2899">
        <f t="shared" si="2"/>
        <v>20</v>
      </c>
      <c r="Y20" s="2899">
        <f t="shared" si="3"/>
        <v>0</v>
      </c>
      <c r="Z20" s="2899">
        <f t="shared" si="4"/>
        <v>509200</v>
      </c>
      <c r="AA20" s="2899">
        <f t="shared" si="5"/>
        <v>0</v>
      </c>
      <c r="AB20" s="2907"/>
      <c r="AC20" s="2899">
        <f t="shared" si="6"/>
        <v>0</v>
      </c>
      <c r="AD20" s="2899">
        <f t="shared" si="7"/>
        <v>0</v>
      </c>
      <c r="AT20" s="91"/>
    </row>
    <row r="21" spans="1:48" x14ac:dyDescent="0.25">
      <c r="A21" s="67"/>
      <c r="B21" s="221" t="s">
        <v>113</v>
      </c>
      <c r="C21" s="222">
        <f>$C$18</f>
        <v>15</v>
      </c>
      <c r="D21" s="222">
        <f>-D20/2</f>
        <v>-12730</v>
      </c>
      <c r="E21" s="222">
        <f>C21*D21</f>
        <v>-190950</v>
      </c>
      <c r="F21" s="222"/>
      <c r="G21" s="194"/>
      <c r="H21" s="400"/>
      <c r="I21" s="397"/>
      <c r="N21" s="275"/>
      <c r="O21" s="221" t="s">
        <v>113</v>
      </c>
      <c r="P21" s="559">
        <f>P18</f>
        <v>35</v>
      </c>
      <c r="Q21" s="222">
        <f>-Q20/2</f>
        <v>-12730</v>
      </c>
      <c r="R21" s="559">
        <f t="shared" ref="R21:R30" si="8">P21*Q21</f>
        <v>-445550</v>
      </c>
      <c r="S21" s="68"/>
      <c r="T21" s="194"/>
      <c r="U21" s="400"/>
      <c r="V21" s="397"/>
      <c r="X21" s="2899">
        <f t="shared" si="2"/>
        <v>20</v>
      </c>
      <c r="Y21" s="2899">
        <f t="shared" si="3"/>
        <v>0</v>
      </c>
      <c r="Z21" s="2899">
        <f t="shared" si="4"/>
        <v>-254600</v>
      </c>
      <c r="AA21" s="2899">
        <f t="shared" si="5"/>
        <v>0</v>
      </c>
      <c r="AB21" s="2907"/>
      <c r="AC21" s="2899">
        <f t="shared" si="6"/>
        <v>0</v>
      </c>
      <c r="AD21" s="2899">
        <f t="shared" si="7"/>
        <v>0</v>
      </c>
    </row>
    <row r="22" spans="1:48" x14ac:dyDescent="0.25">
      <c r="A22" s="185"/>
      <c r="B22" s="221"/>
      <c r="C22" s="225"/>
      <c r="D22" s="225"/>
      <c r="E22" s="225"/>
      <c r="F22" s="225"/>
      <c r="G22" s="194"/>
      <c r="H22" s="400"/>
      <c r="I22" s="2851"/>
      <c r="N22" s="185"/>
      <c r="O22" s="68" t="s">
        <v>895</v>
      </c>
      <c r="P22" s="558">
        <v>13</v>
      </c>
      <c r="Q22" s="558">
        <v>2000</v>
      </c>
      <c r="R22" s="430">
        <f>Q22*P22</f>
        <v>26000</v>
      </c>
      <c r="S22" s="430"/>
      <c r="T22" s="194"/>
      <c r="U22" s="400"/>
      <c r="V22" s="225"/>
      <c r="X22" s="2899">
        <f t="shared" si="2"/>
        <v>13</v>
      </c>
      <c r="Y22" s="2899">
        <f t="shared" si="3"/>
        <v>2000</v>
      </c>
      <c r="Z22" s="2899">
        <f t="shared" si="4"/>
        <v>26000</v>
      </c>
      <c r="AA22" s="2899">
        <f t="shared" si="5"/>
        <v>0</v>
      </c>
      <c r="AB22" s="2907"/>
      <c r="AC22" s="2899">
        <f t="shared" si="6"/>
        <v>0</v>
      </c>
      <c r="AD22" s="2899">
        <f t="shared" si="7"/>
        <v>0</v>
      </c>
    </row>
    <row r="23" spans="1:48" x14ac:dyDescent="0.25">
      <c r="A23" s="67"/>
      <c r="B23" s="223" t="s">
        <v>424</v>
      </c>
      <c r="C23" s="224"/>
      <c r="D23" s="224"/>
      <c r="E23" s="225"/>
      <c r="F23" s="225"/>
      <c r="G23" s="194"/>
      <c r="H23" s="400"/>
      <c r="I23" s="397"/>
      <c r="N23" s="275"/>
      <c r="O23" s="223" t="s">
        <v>424</v>
      </c>
      <c r="P23" s="570"/>
      <c r="Q23" s="224"/>
      <c r="R23" s="559"/>
      <c r="S23" s="68"/>
      <c r="T23" s="194"/>
      <c r="U23" s="400"/>
      <c r="V23" s="397"/>
      <c r="X23" s="2899">
        <f t="shared" si="2"/>
        <v>0</v>
      </c>
      <c r="Y23" s="2899">
        <f t="shared" si="3"/>
        <v>0</v>
      </c>
      <c r="Z23" s="2899">
        <f t="shared" si="4"/>
        <v>0</v>
      </c>
      <c r="AA23" s="2899">
        <f t="shared" si="5"/>
        <v>0</v>
      </c>
      <c r="AB23" s="2912"/>
      <c r="AC23" s="2899">
        <f t="shared" si="6"/>
        <v>0</v>
      </c>
      <c r="AD23" s="2899">
        <f t="shared" si="7"/>
        <v>0</v>
      </c>
      <c r="AQ23" s="91"/>
    </row>
    <row r="24" spans="1:48" x14ac:dyDescent="0.25">
      <c r="A24" s="67"/>
      <c r="B24" s="226" t="s">
        <v>116</v>
      </c>
      <c r="C24" s="222">
        <v>5</v>
      </c>
      <c r="D24" s="222">
        <v>300</v>
      </c>
      <c r="E24" s="222">
        <f>D24*C24</f>
        <v>1500</v>
      </c>
      <c r="F24" s="222"/>
      <c r="G24" s="194"/>
      <c r="H24" s="400"/>
      <c r="I24" s="397"/>
      <c r="N24" s="275"/>
      <c r="O24" s="226" t="s">
        <v>116</v>
      </c>
      <c r="P24" s="559">
        <v>10</v>
      </c>
      <c r="Q24" s="222">
        <v>300</v>
      </c>
      <c r="R24" s="559">
        <f t="shared" si="8"/>
        <v>3000</v>
      </c>
      <c r="S24" s="68"/>
      <c r="T24" s="194"/>
      <c r="U24" s="400"/>
      <c r="V24" s="397"/>
      <c r="X24" s="2899">
        <f t="shared" si="2"/>
        <v>5</v>
      </c>
      <c r="Y24" s="2899">
        <f t="shared" si="3"/>
        <v>0</v>
      </c>
      <c r="Z24" s="2899">
        <f t="shared" si="4"/>
        <v>1500</v>
      </c>
      <c r="AA24" s="2899">
        <f t="shared" si="5"/>
        <v>0</v>
      </c>
      <c r="AB24" s="2912"/>
      <c r="AC24" s="2899">
        <f t="shared" si="6"/>
        <v>0</v>
      </c>
      <c r="AD24" s="2899">
        <f t="shared" si="7"/>
        <v>0</v>
      </c>
      <c r="AM24" s="91"/>
    </row>
    <row r="25" spans="1:48" x14ac:dyDescent="0.25">
      <c r="A25" s="67"/>
      <c r="B25" s="226" t="s">
        <v>425</v>
      </c>
      <c r="C25" s="222">
        <v>50</v>
      </c>
      <c r="D25" s="222">
        <f>20*$J$1</f>
        <v>76</v>
      </c>
      <c r="E25" s="222">
        <f>D25*C25</f>
        <v>3800</v>
      </c>
      <c r="F25" s="222"/>
      <c r="G25" s="194"/>
      <c r="H25" s="400"/>
      <c r="I25" s="397"/>
      <c r="N25" s="275"/>
      <c r="O25" s="226" t="s">
        <v>905</v>
      </c>
      <c r="P25" s="559">
        <v>125</v>
      </c>
      <c r="Q25" s="222">
        <f>20*$J$1</f>
        <v>76</v>
      </c>
      <c r="R25" s="559">
        <f>P25*Q25</f>
        <v>9500</v>
      </c>
      <c r="S25" s="68"/>
      <c r="T25" s="194"/>
      <c r="U25" s="400"/>
      <c r="V25" s="397"/>
      <c r="X25" s="2899">
        <f t="shared" si="2"/>
        <v>75</v>
      </c>
      <c r="Y25" s="2899">
        <f t="shared" si="3"/>
        <v>0</v>
      </c>
      <c r="Z25" s="2899">
        <f t="shared" si="4"/>
        <v>5700</v>
      </c>
      <c r="AA25" s="2899">
        <f t="shared" si="5"/>
        <v>0</v>
      </c>
      <c r="AB25" s="2912"/>
      <c r="AC25" s="2899">
        <f t="shared" si="6"/>
        <v>0</v>
      </c>
      <c r="AD25" s="2899">
        <f t="shared" si="7"/>
        <v>0</v>
      </c>
    </row>
    <row r="26" spans="1:48" ht="28.5" x14ac:dyDescent="0.25">
      <c r="A26" s="67"/>
      <c r="B26" s="226" t="s">
        <v>426</v>
      </c>
      <c r="C26" s="222">
        <v>50</v>
      </c>
      <c r="D26" s="222">
        <f>43*$J$1</f>
        <v>163.4</v>
      </c>
      <c r="E26" s="222">
        <f>D26*C26</f>
        <v>8170</v>
      </c>
      <c r="F26" s="222"/>
      <c r="G26" s="194"/>
      <c r="H26" s="400"/>
      <c r="I26" s="397"/>
      <c r="N26" s="275"/>
      <c r="O26" s="226" t="s">
        <v>906</v>
      </c>
      <c r="P26" s="559">
        <v>125</v>
      </c>
      <c r="Q26" s="222">
        <f>43*$J$1</f>
        <v>163.4</v>
      </c>
      <c r="R26" s="559">
        <f t="shared" si="8"/>
        <v>20425</v>
      </c>
      <c r="S26" s="68"/>
      <c r="T26" s="194"/>
      <c r="U26" s="400"/>
      <c r="V26" s="397"/>
      <c r="X26" s="2899">
        <f t="shared" si="2"/>
        <v>75</v>
      </c>
      <c r="Y26" s="2899">
        <f t="shared" si="3"/>
        <v>0</v>
      </c>
      <c r="Z26" s="2899">
        <f t="shared" si="4"/>
        <v>12255</v>
      </c>
      <c r="AA26" s="2899">
        <f t="shared" si="5"/>
        <v>0</v>
      </c>
      <c r="AB26" s="2912"/>
      <c r="AC26" s="2899">
        <f t="shared" si="6"/>
        <v>0</v>
      </c>
      <c r="AD26" s="2899">
        <f t="shared" si="7"/>
        <v>0</v>
      </c>
      <c r="AH26" s="91"/>
    </row>
    <row r="27" spans="1:48" x14ac:dyDescent="0.25">
      <c r="A27" s="67"/>
      <c r="B27" s="223" t="s">
        <v>119</v>
      </c>
      <c r="C27" s="219" t="s">
        <v>427</v>
      </c>
      <c r="D27" s="219"/>
      <c r="E27" s="220"/>
      <c r="F27" s="220"/>
      <c r="G27" s="194"/>
      <c r="H27" s="400"/>
      <c r="I27" s="397"/>
      <c r="N27" s="275"/>
      <c r="O27" s="223" t="s">
        <v>119</v>
      </c>
      <c r="P27" s="219">
        <v>2</v>
      </c>
      <c r="Q27" s="219"/>
      <c r="R27" s="559"/>
      <c r="S27" s="68"/>
      <c r="T27" s="194"/>
      <c r="U27" s="400"/>
      <c r="V27" s="397"/>
      <c r="X27" s="2899"/>
      <c r="Y27" s="2899">
        <f t="shared" ref="Y27:AA30" si="9">Q27-D27</f>
        <v>0</v>
      </c>
      <c r="Z27" s="2899">
        <f t="shared" si="9"/>
        <v>0</v>
      </c>
      <c r="AA27" s="2899">
        <f t="shared" si="9"/>
        <v>0</v>
      </c>
      <c r="AB27" s="2912"/>
      <c r="AC27" s="2899">
        <f t="shared" si="6"/>
        <v>0</v>
      </c>
      <c r="AD27" s="2899">
        <f t="shared" si="7"/>
        <v>0</v>
      </c>
      <c r="AH27" s="91"/>
      <c r="AI27" s="91"/>
      <c r="AJ27" s="91"/>
      <c r="AQ27" s="91"/>
    </row>
    <row r="28" spans="1:48" x14ac:dyDescent="0.25">
      <c r="A28" s="67"/>
      <c r="B28" s="221" t="s">
        <v>121</v>
      </c>
      <c r="C28" s="222">
        <v>1</v>
      </c>
      <c r="D28" s="222">
        <f>2200*$J$1</f>
        <v>8360</v>
      </c>
      <c r="E28" s="222">
        <f>D28*C28</f>
        <v>8360</v>
      </c>
      <c r="F28" s="222"/>
      <c r="G28" s="194"/>
      <c r="H28" s="400"/>
      <c r="I28" s="397"/>
      <c r="N28" s="275"/>
      <c r="O28" s="221" t="s">
        <v>121</v>
      </c>
      <c r="P28" s="559">
        <f>P27</f>
        <v>2</v>
      </c>
      <c r="Q28" s="222">
        <f>2200*$J$1</f>
        <v>8360</v>
      </c>
      <c r="R28" s="559">
        <f t="shared" si="8"/>
        <v>16720</v>
      </c>
      <c r="S28" s="68"/>
      <c r="T28" s="194"/>
      <c r="U28" s="400"/>
      <c r="V28" s="397"/>
      <c r="X28" s="2899">
        <f>P28-C28</f>
        <v>1</v>
      </c>
      <c r="Y28" s="2899">
        <f t="shared" si="9"/>
        <v>0</v>
      </c>
      <c r="Z28" s="2899">
        <f t="shared" si="9"/>
        <v>8360</v>
      </c>
      <c r="AA28" s="2899">
        <f t="shared" si="9"/>
        <v>0</v>
      </c>
      <c r="AB28" s="2912"/>
      <c r="AC28" s="2899">
        <f t="shared" si="6"/>
        <v>0</v>
      </c>
      <c r="AD28" s="2899">
        <f t="shared" si="7"/>
        <v>0</v>
      </c>
      <c r="AV28" s="91"/>
    </row>
    <row r="29" spans="1:48" s="208" customFormat="1" ht="28.5" x14ac:dyDescent="0.25">
      <c r="A29" s="67"/>
      <c r="B29" s="221" t="s">
        <v>428</v>
      </c>
      <c r="C29" s="222">
        <v>1</v>
      </c>
      <c r="D29" s="222">
        <f>(60*6+180*5+250)*$J$1</f>
        <v>5738</v>
      </c>
      <c r="E29" s="222">
        <f>D29*C29</f>
        <v>5738</v>
      </c>
      <c r="F29" s="222"/>
      <c r="G29" s="194"/>
      <c r="H29" s="400"/>
      <c r="I29" s="397"/>
      <c r="J29"/>
      <c r="K29" s="205"/>
      <c r="L29" s="205"/>
      <c r="M29" s="205"/>
      <c r="N29" s="275"/>
      <c r="O29" s="221" t="s">
        <v>428</v>
      </c>
      <c r="P29" s="559">
        <f>P27</f>
        <v>2</v>
      </c>
      <c r="Q29" s="222">
        <f>(60*6+180*5+250)*$J$1</f>
        <v>5738</v>
      </c>
      <c r="R29" s="559">
        <f t="shared" si="8"/>
        <v>11476</v>
      </c>
      <c r="S29" s="68"/>
      <c r="T29" s="194"/>
      <c r="U29" s="400"/>
      <c r="V29" s="397"/>
      <c r="W29" s="205"/>
      <c r="X29" s="2899">
        <f>P29-C29</f>
        <v>1</v>
      </c>
      <c r="Y29" s="2899">
        <f t="shared" si="9"/>
        <v>0</v>
      </c>
      <c r="Z29" s="2899">
        <f t="shared" si="9"/>
        <v>5738</v>
      </c>
      <c r="AA29" s="2899">
        <f t="shared" si="9"/>
        <v>0</v>
      </c>
      <c r="AB29" s="2912"/>
      <c r="AC29" s="2899">
        <f t="shared" si="6"/>
        <v>0</v>
      </c>
      <c r="AD29" s="2899">
        <f t="shared" si="7"/>
        <v>0</v>
      </c>
      <c r="AE29" s="205"/>
      <c r="AF29" s="205"/>
      <c r="AG29" s="205"/>
      <c r="AH29" s="205"/>
      <c r="AI29" s="205"/>
      <c r="AJ29" s="205"/>
      <c r="AK29" s="205"/>
    </row>
    <row r="30" spans="1:48" ht="28.5" x14ac:dyDescent="0.25">
      <c r="A30" s="67"/>
      <c r="B30" s="221" t="s">
        <v>429</v>
      </c>
      <c r="C30" s="222">
        <v>45</v>
      </c>
      <c r="D30" s="222">
        <v>350</v>
      </c>
      <c r="E30" s="222">
        <f>D30*C30</f>
        <v>15750</v>
      </c>
      <c r="F30" s="222"/>
      <c r="G30" s="194"/>
      <c r="H30" s="400"/>
      <c r="I30" s="397"/>
      <c r="N30" s="275"/>
      <c r="O30" s="221" t="s">
        <v>429</v>
      </c>
      <c r="P30" s="559">
        <f>45*P27</f>
        <v>90</v>
      </c>
      <c r="Q30" s="222">
        <v>350</v>
      </c>
      <c r="R30" s="559">
        <f t="shared" si="8"/>
        <v>31500</v>
      </c>
      <c r="S30" s="68"/>
      <c r="T30" s="194"/>
      <c r="U30" s="400"/>
      <c r="V30" s="397"/>
      <c r="X30" s="2899">
        <f>P30-C30</f>
        <v>45</v>
      </c>
      <c r="Y30" s="2899">
        <f t="shared" si="9"/>
        <v>0</v>
      </c>
      <c r="Z30" s="2899">
        <f t="shared" si="9"/>
        <v>15750</v>
      </c>
      <c r="AA30" s="2899">
        <f t="shared" si="9"/>
        <v>0</v>
      </c>
      <c r="AB30" s="2912"/>
      <c r="AC30" s="2899">
        <f t="shared" si="6"/>
        <v>0</v>
      </c>
      <c r="AD30" s="2899">
        <f t="shared" si="7"/>
        <v>0</v>
      </c>
    </row>
    <row r="31" spans="1:48" x14ac:dyDescent="0.25">
      <c r="A31" s="185"/>
      <c r="B31" s="373" t="s">
        <v>13</v>
      </c>
      <c r="C31" s="196"/>
      <c r="D31" s="197"/>
      <c r="E31" s="197">
        <f>SUM(E18:E30)</f>
        <v>302168</v>
      </c>
      <c r="F31" s="197"/>
      <c r="G31" s="194"/>
      <c r="H31" s="197">
        <f>SUM(H18:H30)</f>
        <v>0</v>
      </c>
      <c r="I31" s="228">
        <f>SUM(I18:I30)</f>
        <v>0</v>
      </c>
      <c r="J31" s="205"/>
      <c r="N31" s="252"/>
      <c r="O31" s="373" t="s">
        <v>13</v>
      </c>
      <c r="P31" s="196"/>
      <c r="Q31" s="197"/>
      <c r="R31" s="197">
        <f>SUM(R19:R30)</f>
        <v>691671</v>
      </c>
      <c r="S31" s="197">
        <f>SUM(S19:S30)</f>
        <v>0</v>
      </c>
      <c r="T31" s="194"/>
      <c r="U31" s="197">
        <f>SUM(U18:U30)</f>
        <v>0</v>
      </c>
      <c r="V31" s="228">
        <f>SUM(V18:V30)</f>
        <v>0</v>
      </c>
      <c r="X31" s="2913"/>
      <c r="Y31" s="2909"/>
      <c r="Z31" s="2909">
        <f>SUM(Z19:Z30)</f>
        <v>389503</v>
      </c>
      <c r="AA31" s="2909">
        <f>SUM(AA19:AA30)</f>
        <v>0</v>
      </c>
      <c r="AB31" s="2909"/>
      <c r="AC31" s="2909">
        <f>SUM(AC18:AC30)</f>
        <v>0</v>
      </c>
      <c r="AD31" s="2914">
        <f>SUM(AD18:AD30)</f>
        <v>0</v>
      </c>
    </row>
    <row r="32" spans="1:48" ht="15.75" thickBot="1" x14ac:dyDescent="0.3">
      <c r="A32" s="200"/>
      <c r="B32" s="3326" t="s">
        <v>430</v>
      </c>
      <c r="C32" s="3327"/>
      <c r="D32" s="3327"/>
      <c r="E32" s="3327"/>
      <c r="F32" s="3327"/>
      <c r="G32" s="3327"/>
      <c r="H32" s="3327"/>
      <c r="I32" s="3328"/>
      <c r="R32" s="91"/>
    </row>
    <row r="33" spans="1:50" ht="15.75" thickBot="1" x14ac:dyDescent="0.3">
      <c r="B33" s="202"/>
      <c r="C33" s="202"/>
      <c r="D33" s="202"/>
      <c r="E33" s="1632">
        <f>-E31+[1]ארגנטינה!$E$33</f>
        <v>0</v>
      </c>
      <c r="F33" s="202"/>
      <c r="G33" s="202"/>
      <c r="H33" s="202"/>
      <c r="I33" s="202"/>
    </row>
    <row r="34" spans="1:50" ht="30" x14ac:dyDescent="0.25">
      <c r="A34" s="210">
        <v>3</v>
      </c>
      <c r="B34" s="211" t="s">
        <v>63</v>
      </c>
      <c r="C34" s="3274" t="s">
        <v>104</v>
      </c>
      <c r="D34" s="3275"/>
      <c r="E34" s="3276"/>
      <c r="F34" s="2845"/>
      <c r="G34" s="6"/>
      <c r="H34" s="3282" t="s">
        <v>88</v>
      </c>
      <c r="I34" s="3283"/>
      <c r="N34" s="210">
        <v>3</v>
      </c>
      <c r="O34" s="211" t="s">
        <v>63</v>
      </c>
      <c r="P34" s="3186" t="s">
        <v>812</v>
      </c>
      <c r="Q34" s="3186"/>
      <c r="R34" s="3186"/>
      <c r="S34" s="2151"/>
      <c r="T34" s="6"/>
      <c r="U34" s="3272" t="s">
        <v>88</v>
      </c>
      <c r="V34" s="3273"/>
      <c r="X34" s="3300" t="s">
        <v>506</v>
      </c>
      <c r="Y34" s="3300"/>
      <c r="Z34" s="3300"/>
      <c r="AA34" s="2901"/>
      <c r="AB34" s="2902"/>
      <c r="AC34" s="3295" t="s">
        <v>88</v>
      </c>
      <c r="AD34" s="3296"/>
    </row>
    <row r="35" spans="1:50" ht="60" x14ac:dyDescent="0.25">
      <c r="A35" s="212"/>
      <c r="B35" s="187" t="s">
        <v>89</v>
      </c>
      <c r="C35" s="187" t="s">
        <v>54</v>
      </c>
      <c r="D35" s="186" t="s">
        <v>91</v>
      </c>
      <c r="E35" s="186" t="s">
        <v>105</v>
      </c>
      <c r="F35" s="186" t="s">
        <v>106</v>
      </c>
      <c r="G35" s="194"/>
      <c r="H35" s="187" t="s">
        <v>54</v>
      </c>
      <c r="I35" s="188" t="s">
        <v>92</v>
      </c>
      <c r="N35" s="212"/>
      <c r="O35" s="187" t="s">
        <v>89</v>
      </c>
      <c r="P35" s="186" t="s">
        <v>54</v>
      </c>
      <c r="Q35" s="186" t="s">
        <v>91</v>
      </c>
      <c r="R35" s="186" t="s">
        <v>105</v>
      </c>
      <c r="S35" s="186" t="s">
        <v>106</v>
      </c>
      <c r="T35" s="194"/>
      <c r="U35" s="187" t="s">
        <v>54</v>
      </c>
      <c r="V35" s="188" t="s">
        <v>92</v>
      </c>
      <c r="X35" s="2903" t="s">
        <v>90</v>
      </c>
      <c r="Y35" s="2903" t="s">
        <v>91</v>
      </c>
      <c r="Z35" s="2903" t="s">
        <v>507</v>
      </c>
      <c r="AA35" s="2903"/>
      <c r="AB35" s="2904"/>
      <c r="AC35" s="2905" t="s">
        <v>54</v>
      </c>
      <c r="AD35" s="2906" t="s">
        <v>507</v>
      </c>
      <c r="AL35" s="91"/>
    </row>
    <row r="36" spans="1:50" x14ac:dyDescent="0.25">
      <c r="A36" s="185"/>
      <c r="B36" s="190" t="s">
        <v>431</v>
      </c>
      <c r="C36" s="190">
        <v>0.6</v>
      </c>
      <c r="D36" s="401"/>
      <c r="E36" s="231"/>
      <c r="F36" s="401"/>
      <c r="G36" s="194"/>
      <c r="H36" s="400" t="s">
        <v>432</v>
      </c>
      <c r="I36" s="397"/>
      <c r="N36" s="185"/>
      <c r="O36" s="190" t="s">
        <v>431</v>
      </c>
      <c r="P36" s="594">
        <v>0.6</v>
      </c>
      <c r="Q36" s="190"/>
      <c r="R36" s="190"/>
      <c r="S36" s="190"/>
      <c r="T36" s="194"/>
      <c r="U36" s="400" t="s">
        <v>432</v>
      </c>
      <c r="V36" s="397"/>
      <c r="X36" s="2899">
        <f t="shared" ref="X36:AA38" si="10">P36-C36</f>
        <v>0</v>
      </c>
      <c r="Y36" s="2899">
        <f t="shared" si="10"/>
        <v>0</v>
      </c>
      <c r="Z36" s="2899">
        <f t="shared" si="10"/>
        <v>0</v>
      </c>
      <c r="AA36" s="2899">
        <f t="shared" si="10"/>
        <v>0</v>
      </c>
      <c r="AB36" s="2907"/>
      <c r="AC36" s="2899"/>
      <c r="AD36" s="2899">
        <f>V36-I36</f>
        <v>0</v>
      </c>
      <c r="AX36" s="91"/>
    </row>
    <row r="37" spans="1:50" x14ac:dyDescent="0.25">
      <c r="A37" s="185"/>
      <c r="B37" s="221" t="s">
        <v>433</v>
      </c>
      <c r="C37" s="225">
        <v>12</v>
      </c>
      <c r="D37" s="225">
        <f>3500*$J$1*0.6</f>
        <v>7980</v>
      </c>
      <c r="E37" s="225">
        <f>+D37*C37*0.85</f>
        <v>81396</v>
      </c>
      <c r="F37" s="225">
        <f>D37*C37*0.15</f>
        <v>14364</v>
      </c>
      <c r="G37" s="194"/>
      <c r="H37" s="400"/>
      <c r="I37" s="2851">
        <v>125000</v>
      </c>
      <c r="N37" s="185"/>
      <c r="O37" s="221" t="s">
        <v>433</v>
      </c>
      <c r="P37" s="557">
        <v>19</v>
      </c>
      <c r="Q37" s="225">
        <f>3500*$J$1*0.6</f>
        <v>7980</v>
      </c>
      <c r="R37" s="430">
        <f>0.85*Q37*P37</f>
        <v>128877</v>
      </c>
      <c r="S37" s="430">
        <f>Q37*P37*0.15</f>
        <v>22743</v>
      </c>
      <c r="T37" s="194"/>
      <c r="U37" s="400"/>
      <c r="V37" s="3312">
        <v>356000</v>
      </c>
      <c r="X37" s="2899">
        <f t="shared" si="10"/>
        <v>7</v>
      </c>
      <c r="Y37" s="2899">
        <f t="shared" si="10"/>
        <v>0</v>
      </c>
      <c r="Z37" s="2899">
        <f t="shared" si="10"/>
        <v>47481</v>
      </c>
      <c r="AA37" s="2899">
        <f t="shared" si="10"/>
        <v>8379</v>
      </c>
      <c r="AB37" s="2907"/>
      <c r="AC37" s="2899">
        <f>U37-H37</f>
        <v>0</v>
      </c>
      <c r="AD37" s="2899">
        <f>V37-I37</f>
        <v>231000</v>
      </c>
    </row>
    <row r="38" spans="1:50" ht="42.75" x14ac:dyDescent="0.25">
      <c r="A38" s="185"/>
      <c r="B38" s="221" t="s">
        <v>434</v>
      </c>
      <c r="C38" s="225">
        <v>12</v>
      </c>
      <c r="D38" s="225">
        <f>1000*$J$1*0.6</f>
        <v>2280</v>
      </c>
      <c r="E38" s="225">
        <f>+D38*C38*0.85</f>
        <v>23256</v>
      </c>
      <c r="F38" s="225">
        <f>D38*C38*0.15</f>
        <v>4104</v>
      </c>
      <c r="G38" s="194"/>
      <c r="H38" s="400"/>
      <c r="I38" s="2851">
        <v>100000</v>
      </c>
      <c r="N38" s="185"/>
      <c r="O38" s="221" t="s">
        <v>434</v>
      </c>
      <c r="P38" s="557">
        <v>19</v>
      </c>
      <c r="Q38" s="215">
        <f>1000*$J$1*0.6</f>
        <v>2280</v>
      </c>
      <c r="R38" s="430">
        <f>0.85*Q38*P38</f>
        <v>36822</v>
      </c>
      <c r="S38" s="430">
        <f>Q38*P38*0.15</f>
        <v>6498</v>
      </c>
      <c r="T38" s="194"/>
      <c r="U38" s="400"/>
      <c r="V38" s="3313"/>
      <c r="X38" s="2899">
        <f t="shared" si="10"/>
        <v>7</v>
      </c>
      <c r="Y38" s="2899">
        <f t="shared" si="10"/>
        <v>0</v>
      </c>
      <c r="Z38" s="2899">
        <f t="shared" si="10"/>
        <v>13566</v>
      </c>
      <c r="AA38" s="2899">
        <f t="shared" si="10"/>
        <v>2394</v>
      </c>
      <c r="AB38" s="2907"/>
      <c r="AC38" s="2899">
        <f>U38-H38</f>
        <v>0</v>
      </c>
      <c r="AD38" s="2899">
        <f>V38-I38</f>
        <v>-100000</v>
      </c>
    </row>
    <row r="39" spans="1:50" x14ac:dyDescent="0.25">
      <c r="A39" s="185"/>
      <c r="B39" s="373" t="s">
        <v>13</v>
      </c>
      <c r="C39" s="196"/>
      <c r="D39" s="196"/>
      <c r="E39" s="197">
        <f>SUM(E36:E38)</f>
        <v>104652</v>
      </c>
      <c r="F39" s="197">
        <f>SUM(F36:F38)</f>
        <v>18468</v>
      </c>
      <c r="G39" s="197">
        <f>SUM(G36:G38)</f>
        <v>0</v>
      </c>
      <c r="H39" s="197">
        <f>SUM(H36:H38)</f>
        <v>0</v>
      </c>
      <c r="I39" s="228">
        <f>SUM(I36:I38)</f>
        <v>225000</v>
      </c>
      <c r="N39" s="185"/>
      <c r="O39" s="373" t="s">
        <v>13</v>
      </c>
      <c r="P39" s="373"/>
      <c r="Q39" s="373"/>
      <c r="R39" s="197">
        <f>SUM(R37:R38)</f>
        <v>165699</v>
      </c>
      <c r="S39" s="197">
        <f>SUM(S37:S38)</f>
        <v>29241</v>
      </c>
      <c r="T39" s="197">
        <f>SUM(T37:T38)</f>
        <v>0</v>
      </c>
      <c r="U39" s="197">
        <f>SUM(U37:U38)</f>
        <v>0</v>
      </c>
      <c r="V39" s="197">
        <f>SUM(V37:V38)</f>
        <v>356000</v>
      </c>
      <c r="X39" s="2909"/>
      <c r="Y39" s="2909"/>
      <c r="Z39" s="2909">
        <f>SUM(Z37:Z38)</f>
        <v>61047</v>
      </c>
      <c r="AA39" s="2909">
        <f>SUM(AA37:AA38)</f>
        <v>10773</v>
      </c>
      <c r="AB39" s="2909">
        <f>SUM(AB37:AB38)</f>
        <v>0</v>
      </c>
      <c r="AC39" s="2909">
        <f>SUM(AC37:AC38)</f>
        <v>0</v>
      </c>
      <c r="AD39" s="2909">
        <f>SUM(AD37:AD38)</f>
        <v>131000</v>
      </c>
    </row>
    <row r="40" spans="1:50" ht="15.75" thickBot="1" x14ac:dyDescent="0.3">
      <c r="A40" s="200"/>
      <c r="B40" s="402"/>
      <c r="C40" s="376"/>
      <c r="D40" s="376"/>
      <c r="E40" s="377"/>
      <c r="F40" s="377"/>
      <c r="G40" s="403"/>
      <c r="H40" s="286"/>
      <c r="I40" s="379"/>
      <c r="N40" s="200"/>
      <c r="O40" s="402"/>
      <c r="R40" s="91"/>
      <c r="S40" s="276"/>
      <c r="T40" s="403"/>
      <c r="U40" s="286"/>
      <c r="V40" s="379"/>
    </row>
    <row r="41" spans="1:50" ht="15.75" thickBot="1" x14ac:dyDescent="0.3">
      <c r="B41" s="202"/>
      <c r="C41" s="202"/>
      <c r="D41" s="202"/>
      <c r="E41" s="202"/>
      <c r="F41" s="202"/>
      <c r="G41" s="202"/>
      <c r="H41" s="202"/>
      <c r="I41" s="202"/>
    </row>
    <row r="42" spans="1:50" s="44" customFormat="1" ht="15" customHeight="1" x14ac:dyDescent="0.25">
      <c r="A42" s="210">
        <v>4</v>
      </c>
      <c r="B42" s="211" t="s">
        <v>435</v>
      </c>
      <c r="C42" s="3274" t="s">
        <v>104</v>
      </c>
      <c r="D42" s="3275"/>
      <c r="E42" s="3276"/>
      <c r="F42" s="184"/>
      <c r="G42" s="6"/>
      <c r="H42" s="3282" t="s">
        <v>88</v>
      </c>
      <c r="I42" s="3283"/>
      <c r="J42"/>
      <c r="N42" s="210">
        <v>4</v>
      </c>
      <c r="O42" s="211" t="s">
        <v>435</v>
      </c>
      <c r="P42" s="3186" t="s">
        <v>812</v>
      </c>
      <c r="Q42" s="3186"/>
      <c r="R42" s="3186"/>
      <c r="S42" s="2151"/>
      <c r="T42" s="6"/>
      <c r="U42" s="3272" t="s">
        <v>88</v>
      </c>
      <c r="V42" s="3273"/>
      <c r="X42" s="3300" t="s">
        <v>506</v>
      </c>
      <c r="Y42" s="3300"/>
      <c r="Z42" s="3300"/>
      <c r="AA42" s="2901"/>
      <c r="AB42" s="2902"/>
      <c r="AC42" s="3295" t="s">
        <v>88</v>
      </c>
      <c r="AD42" s="3296"/>
    </row>
    <row r="43" spans="1:50" s="44" customFormat="1" ht="60" x14ac:dyDescent="0.25">
      <c r="A43" s="212"/>
      <c r="B43" s="187" t="s">
        <v>89</v>
      </c>
      <c r="C43" s="187" t="s">
        <v>54</v>
      </c>
      <c r="D43" s="186" t="s">
        <v>91</v>
      </c>
      <c r="E43" s="186" t="s">
        <v>92</v>
      </c>
      <c r="F43" s="186" t="s">
        <v>106</v>
      </c>
      <c r="G43" s="194"/>
      <c r="H43" s="187" t="s">
        <v>54</v>
      </c>
      <c r="I43" s="188" t="s">
        <v>92</v>
      </c>
      <c r="J43"/>
      <c r="N43" s="212"/>
      <c r="O43" s="187" t="s">
        <v>89</v>
      </c>
      <c r="P43" s="186" t="s">
        <v>54</v>
      </c>
      <c r="Q43" s="186" t="s">
        <v>91</v>
      </c>
      <c r="R43" s="186" t="s">
        <v>105</v>
      </c>
      <c r="S43" s="186" t="s">
        <v>106</v>
      </c>
      <c r="T43" s="194"/>
      <c r="U43" s="187" t="s">
        <v>54</v>
      </c>
      <c r="V43" s="188" t="s">
        <v>92</v>
      </c>
      <c r="X43" s="2903" t="s">
        <v>90</v>
      </c>
      <c r="Y43" s="2903" t="s">
        <v>91</v>
      </c>
      <c r="Z43" s="2903" t="s">
        <v>507</v>
      </c>
      <c r="AA43" s="2903"/>
      <c r="AB43" s="2904"/>
      <c r="AC43" s="2905" t="s">
        <v>54</v>
      </c>
      <c r="AD43" s="2906" t="s">
        <v>507</v>
      </c>
      <c r="AH43" s="407"/>
      <c r="AI43" s="407"/>
      <c r="AJ43" s="407"/>
    </row>
    <row r="44" spans="1:50" s="208" customFormat="1" ht="30" x14ac:dyDescent="0.2">
      <c r="A44" s="185"/>
      <c r="B44" s="404" t="s">
        <v>436</v>
      </c>
      <c r="C44" s="405">
        <v>6</v>
      </c>
      <c r="D44" s="401"/>
      <c r="E44" s="231"/>
      <c r="F44" s="231"/>
      <c r="G44" s="5"/>
      <c r="H44" s="304"/>
      <c r="I44" s="310"/>
      <c r="J44" s="44"/>
      <c r="K44" s="205"/>
      <c r="L44" s="205"/>
      <c r="M44" s="205"/>
      <c r="N44" s="185"/>
      <c r="O44" s="404" t="s">
        <v>436</v>
      </c>
      <c r="P44" s="405">
        <v>11</v>
      </c>
      <c r="Q44" s="401"/>
      <c r="R44" s="231"/>
      <c r="S44" s="68"/>
      <c r="T44" s="5"/>
      <c r="U44" s="304"/>
      <c r="V44" s="310"/>
      <c r="W44" s="205"/>
      <c r="X44" s="2899">
        <f t="shared" ref="X44:AA47" si="11">P44-C44</f>
        <v>5</v>
      </c>
      <c r="Y44" s="2899">
        <f t="shared" si="11"/>
        <v>0</v>
      </c>
      <c r="Z44" s="2899">
        <f t="shared" si="11"/>
        <v>0</v>
      </c>
      <c r="AA44" s="2899">
        <f t="shared" si="11"/>
        <v>0</v>
      </c>
      <c r="AB44" s="2907"/>
      <c r="AC44" s="2899"/>
      <c r="AD44" s="2899">
        <f>V44-I44</f>
        <v>0</v>
      </c>
      <c r="AE44" s="205"/>
      <c r="AF44" s="205"/>
      <c r="AG44" s="205"/>
      <c r="AH44" s="407"/>
      <c r="AI44" s="407"/>
      <c r="AJ44" s="407"/>
      <c r="AK44" s="205"/>
      <c r="AQ44" s="424"/>
      <c r="AV44" s="424"/>
    </row>
    <row r="45" spans="1:50" s="208" customFormat="1" ht="14.25" x14ac:dyDescent="0.2">
      <c r="A45" s="185"/>
      <c r="B45" s="226" t="s">
        <v>437</v>
      </c>
      <c r="C45" s="380">
        <f>$C$44</f>
        <v>6</v>
      </c>
      <c r="D45" s="381">
        <f>2300*$J$1</f>
        <v>8740</v>
      </c>
      <c r="E45" s="380">
        <f>+D45*C45</f>
        <v>52440</v>
      </c>
      <c r="F45" s="380"/>
      <c r="G45" s="5"/>
      <c r="H45" s="304"/>
      <c r="I45" s="310"/>
      <c r="J45" s="44"/>
      <c r="K45" s="205"/>
      <c r="L45" s="205"/>
      <c r="M45" s="205"/>
      <c r="N45" s="185"/>
      <c r="O45" s="226" t="s">
        <v>437</v>
      </c>
      <c r="P45" s="380">
        <f>P44</f>
        <v>11</v>
      </c>
      <c r="Q45" s="381">
        <f>2300*$J$1</f>
        <v>8740</v>
      </c>
      <c r="R45" s="380">
        <f>Q45*P45</f>
        <v>96140</v>
      </c>
      <c r="S45" s="68"/>
      <c r="T45" s="5"/>
      <c r="U45" s="304"/>
      <c r="V45" s="310"/>
      <c r="W45" s="205"/>
      <c r="X45" s="2899">
        <f t="shared" si="11"/>
        <v>5</v>
      </c>
      <c r="Y45" s="2899">
        <f t="shared" si="11"/>
        <v>0</v>
      </c>
      <c r="Z45" s="2899">
        <f t="shared" si="11"/>
        <v>43700</v>
      </c>
      <c r="AA45" s="2899">
        <f t="shared" si="11"/>
        <v>0</v>
      </c>
      <c r="AB45" s="2907"/>
      <c r="AC45" s="2899">
        <f>U45-H45</f>
        <v>0</v>
      </c>
      <c r="AD45" s="2899">
        <f>V45-I45</f>
        <v>0</v>
      </c>
      <c r="AE45" s="205"/>
      <c r="AF45" s="205"/>
      <c r="AG45" s="205"/>
      <c r="AH45" s="205"/>
      <c r="AI45" s="205"/>
      <c r="AJ45" s="205"/>
      <c r="AK45" s="205"/>
      <c r="AO45" s="424"/>
    </row>
    <row r="46" spans="1:50" s="208" customFormat="1" ht="28.5" x14ac:dyDescent="0.2">
      <c r="A46" s="185"/>
      <c r="B46" s="226" t="s">
        <v>438</v>
      </c>
      <c r="C46" s="380">
        <f>$C$44*10</f>
        <v>60</v>
      </c>
      <c r="D46" s="381">
        <f>+(200+180+50)*$J$1</f>
        <v>1634</v>
      </c>
      <c r="E46" s="380">
        <f>+D46*C46</f>
        <v>98040</v>
      </c>
      <c r="F46" s="380"/>
      <c r="G46" s="5"/>
      <c r="H46" s="304"/>
      <c r="I46" s="310"/>
      <c r="J46" s="205"/>
      <c r="K46" s="205"/>
      <c r="L46" s="205"/>
      <c r="M46" s="205"/>
      <c r="N46" s="185"/>
      <c r="O46" s="226" t="s">
        <v>438</v>
      </c>
      <c r="P46" s="380">
        <f>10*P44</f>
        <v>110</v>
      </c>
      <c r="Q46" s="381">
        <f>+(200+180+50)*$J$1</f>
        <v>1634</v>
      </c>
      <c r="R46" s="380">
        <f>Q46*P46</f>
        <v>179740</v>
      </c>
      <c r="S46" s="214"/>
      <c r="T46" s="5"/>
      <c r="U46" s="304"/>
      <c r="V46" s="310"/>
      <c r="W46" s="205"/>
      <c r="X46" s="2899">
        <f t="shared" si="11"/>
        <v>50</v>
      </c>
      <c r="Y46" s="2899">
        <f t="shared" si="11"/>
        <v>0</v>
      </c>
      <c r="Z46" s="2899">
        <f t="shared" si="11"/>
        <v>81700</v>
      </c>
      <c r="AA46" s="2899">
        <f t="shared" si="11"/>
        <v>0</v>
      </c>
      <c r="AB46" s="2907"/>
      <c r="AC46" s="2899">
        <f>U46-H46</f>
        <v>0</v>
      </c>
      <c r="AD46" s="2899">
        <f>V46-I46</f>
        <v>0</v>
      </c>
      <c r="AE46" s="205"/>
      <c r="AF46" s="205"/>
      <c r="AG46" s="205"/>
      <c r="AH46" s="205"/>
      <c r="AI46" s="205"/>
      <c r="AJ46" s="205"/>
      <c r="AK46" s="205"/>
      <c r="AW46" s="424"/>
    </row>
    <row r="47" spans="1:50" s="208" customFormat="1" ht="42.75" x14ac:dyDescent="0.2">
      <c r="A47" s="185"/>
      <c r="B47" s="226" t="s">
        <v>834</v>
      </c>
      <c r="C47" s="380">
        <v>6</v>
      </c>
      <c r="D47" s="381">
        <f>25000/6+900*$J$1</f>
        <v>7586.666666666667</v>
      </c>
      <c r="E47" s="380">
        <f>+D47*C47</f>
        <v>45520</v>
      </c>
      <c r="F47" s="381"/>
      <c r="G47" s="5"/>
      <c r="H47" s="304"/>
      <c r="I47" s="310"/>
      <c r="J47" s="205"/>
      <c r="K47" s="205"/>
      <c r="L47" s="205"/>
      <c r="M47" s="205"/>
      <c r="N47" s="185"/>
      <c r="O47" s="226" t="s">
        <v>834</v>
      </c>
      <c r="P47" s="380">
        <f>P44</f>
        <v>11</v>
      </c>
      <c r="Q47" s="381">
        <f>25000/P44+900*$J$1</f>
        <v>5692.7272727272721</v>
      </c>
      <c r="R47" s="380">
        <f>Q47*P47</f>
        <v>62619.999999999993</v>
      </c>
      <c r="S47" s="214"/>
      <c r="T47" s="5"/>
      <c r="U47" s="304"/>
      <c r="V47" s="310"/>
      <c r="W47" s="205"/>
      <c r="X47" s="2899">
        <f t="shared" si="11"/>
        <v>5</v>
      </c>
      <c r="Y47" s="2899">
        <f t="shared" si="11"/>
        <v>-1893.9393939393949</v>
      </c>
      <c r="Z47" s="2899">
        <f t="shared" si="11"/>
        <v>17099.999999999993</v>
      </c>
      <c r="AA47" s="2899">
        <f t="shared" si="11"/>
        <v>0</v>
      </c>
      <c r="AB47" s="2907"/>
      <c r="AC47" s="2899">
        <f>U47-H47</f>
        <v>0</v>
      </c>
      <c r="AD47" s="2899">
        <f>V47-I47</f>
        <v>0</v>
      </c>
      <c r="AE47" s="205"/>
      <c r="AF47" s="205"/>
      <c r="AG47" s="205"/>
      <c r="AH47" s="205"/>
      <c r="AI47" s="205"/>
      <c r="AJ47" s="205"/>
      <c r="AK47" s="205"/>
    </row>
    <row r="48" spans="1:50" s="44" customFormat="1" ht="15.75" thickBot="1" x14ac:dyDescent="0.3">
      <c r="A48" s="200"/>
      <c r="B48" s="384" t="s">
        <v>13</v>
      </c>
      <c r="C48" s="234"/>
      <c r="D48" s="234"/>
      <c r="E48" s="235">
        <f>SUM(E44:E47)</f>
        <v>196000</v>
      </c>
      <c r="F48" s="235"/>
      <c r="G48" s="7"/>
      <c r="H48" s="235"/>
      <c r="I48" s="238"/>
      <c r="J48" s="205"/>
      <c r="N48" s="200"/>
      <c r="O48" s="384" t="s">
        <v>13</v>
      </c>
      <c r="P48" s="234"/>
      <c r="Q48" s="234"/>
      <c r="R48" s="235">
        <f>SUM(R45:R47)</f>
        <v>338500</v>
      </c>
      <c r="S48" s="235">
        <f>SUM(S45:S47)</f>
        <v>0</v>
      </c>
      <c r="T48" s="7"/>
      <c r="U48" s="235"/>
      <c r="V48" s="238"/>
      <c r="X48" s="2915"/>
      <c r="Y48" s="2915"/>
      <c r="Z48" s="2916">
        <f>SUM(Z45:Z47)</f>
        <v>142500</v>
      </c>
      <c r="AA48" s="2916">
        <f>SUM(AA45:AA47)</f>
        <v>0</v>
      </c>
      <c r="AB48" s="2917"/>
      <c r="AC48" s="2916"/>
      <c r="AD48" s="2918"/>
    </row>
    <row r="49" spans="1:50" s="44" customFormat="1" ht="15.75" thickBot="1" x14ac:dyDescent="0.3">
      <c r="A49" s="201"/>
      <c r="B49" s="406" t="s">
        <v>440</v>
      </c>
      <c r="C49" s="203"/>
      <c r="D49" s="203"/>
      <c r="E49" s="204"/>
      <c r="F49" s="204">
        <f>-E48+[2]ארגנטינה!$E$58</f>
        <v>0</v>
      </c>
      <c r="G49" s="205"/>
      <c r="H49" s="206"/>
      <c r="I49" s="207"/>
      <c r="J49" s="208"/>
      <c r="R49" s="407"/>
      <c r="X49" s="2911"/>
      <c r="Y49" s="2911"/>
      <c r="Z49" s="2911"/>
      <c r="AA49" s="2911"/>
      <c r="AB49" s="2911"/>
      <c r="AC49" s="2911"/>
      <c r="AD49" s="2911"/>
    </row>
    <row r="50" spans="1:50" ht="15" customHeight="1" x14ac:dyDescent="0.25">
      <c r="A50" s="210">
        <v>5</v>
      </c>
      <c r="B50" s="211" t="s">
        <v>65</v>
      </c>
      <c r="C50" s="3274" t="s">
        <v>410</v>
      </c>
      <c r="D50" s="3275"/>
      <c r="E50" s="3276"/>
      <c r="F50" s="184"/>
      <c r="G50" s="6"/>
      <c r="H50" s="3282" t="s">
        <v>88</v>
      </c>
      <c r="I50" s="3283"/>
      <c r="J50" s="44"/>
      <c r="N50" s="210">
        <v>5</v>
      </c>
      <c r="O50" s="211" t="s">
        <v>65</v>
      </c>
      <c r="P50" s="3186" t="s">
        <v>812</v>
      </c>
      <c r="Q50" s="3186"/>
      <c r="R50" s="3186"/>
      <c r="S50" s="2151"/>
      <c r="T50" s="451"/>
      <c r="U50" s="3282" t="s">
        <v>88</v>
      </c>
      <c r="V50" s="3283"/>
      <c r="X50" s="3300" t="s">
        <v>506</v>
      </c>
      <c r="Y50" s="3300"/>
      <c r="Z50" s="3300"/>
      <c r="AA50" s="2901"/>
      <c r="AB50" s="2902"/>
      <c r="AC50" s="3295" t="s">
        <v>88</v>
      </c>
      <c r="AD50" s="3296"/>
      <c r="AL50" s="91"/>
    </row>
    <row r="51" spans="1:50" s="44" customFormat="1" ht="60" x14ac:dyDescent="0.25">
      <c r="A51" s="212"/>
      <c r="B51" s="187" t="s">
        <v>89</v>
      </c>
      <c r="C51" s="187" t="s">
        <v>54</v>
      </c>
      <c r="D51" s="186" t="s">
        <v>91</v>
      </c>
      <c r="E51" s="186" t="s">
        <v>105</v>
      </c>
      <c r="F51" s="186" t="s">
        <v>106</v>
      </c>
      <c r="G51" s="194"/>
      <c r="H51" s="187" t="s">
        <v>54</v>
      </c>
      <c r="I51" s="188" t="s">
        <v>92</v>
      </c>
      <c r="N51" s="212"/>
      <c r="O51" s="452" t="s">
        <v>89</v>
      </c>
      <c r="P51" s="452" t="s">
        <v>54</v>
      </c>
      <c r="Q51" s="467" t="s">
        <v>91</v>
      </c>
      <c r="R51" s="453" t="s">
        <v>530</v>
      </c>
      <c r="S51" s="453" t="s">
        <v>106</v>
      </c>
      <c r="T51" s="466"/>
      <c r="U51" s="452" t="s">
        <v>54</v>
      </c>
      <c r="V51" s="455" t="s">
        <v>502</v>
      </c>
      <c r="X51" s="2903" t="s">
        <v>90</v>
      </c>
      <c r="Y51" s="2903" t="s">
        <v>91</v>
      </c>
      <c r="Z51" s="2903" t="s">
        <v>507</v>
      </c>
      <c r="AA51" s="2903"/>
      <c r="AB51" s="2904"/>
      <c r="AC51" s="2905" t="s">
        <v>54</v>
      </c>
      <c r="AD51" s="2906" t="s">
        <v>507</v>
      </c>
      <c r="AX51" s="407"/>
    </row>
    <row r="52" spans="1:50" s="44" customFormat="1" x14ac:dyDescent="0.2">
      <c r="A52" s="212"/>
      <c r="B52" s="468" t="s">
        <v>509</v>
      </c>
      <c r="C52" s="405">
        <v>1</v>
      </c>
      <c r="D52" s="401"/>
      <c r="E52" s="231"/>
      <c r="F52" s="401"/>
      <c r="G52" s="5"/>
      <c r="H52" s="304"/>
      <c r="I52" s="310"/>
      <c r="N52" s="212"/>
      <c r="O52" s="468" t="s">
        <v>509</v>
      </c>
      <c r="P52" s="473">
        <v>1</v>
      </c>
      <c r="Q52" s="332"/>
      <c r="R52" s="469"/>
      <c r="S52" s="469"/>
      <c r="T52" s="456"/>
      <c r="U52" s="470"/>
      <c r="V52" s="471"/>
      <c r="X52" s="2899">
        <f>P52-C52</f>
        <v>0</v>
      </c>
      <c r="Y52" s="2899">
        <f>Q52-D52</f>
        <v>0</v>
      </c>
      <c r="Z52" s="2899">
        <f>R52-E52</f>
        <v>0</v>
      </c>
      <c r="AA52" s="2899">
        <f>S52-F52</f>
        <v>0</v>
      </c>
      <c r="AB52" s="2907"/>
      <c r="AC52" s="2899">
        <f t="shared" ref="AC52:AD55" si="12">U52-H52</f>
        <v>0</v>
      </c>
      <c r="AD52" s="2899">
        <f t="shared" si="12"/>
        <v>0</v>
      </c>
      <c r="AH52" s="407"/>
      <c r="AI52" s="407"/>
      <c r="AJ52" s="407"/>
      <c r="AQ52" s="407"/>
    </row>
    <row r="53" spans="1:50" s="44" customFormat="1" ht="14.25" x14ac:dyDescent="0.2">
      <c r="A53" s="185"/>
      <c r="B53" s="290" t="s">
        <v>441</v>
      </c>
      <c r="C53" s="405">
        <v>1</v>
      </c>
      <c r="D53" s="401">
        <f>40000*$J$1</f>
        <v>152000</v>
      </c>
      <c r="E53" s="231">
        <f>+D53*C53*0.85</f>
        <v>129200</v>
      </c>
      <c r="F53" s="401">
        <f>D53*C53*0.15</f>
        <v>22800</v>
      </c>
      <c r="G53" s="5"/>
      <c r="H53" s="304"/>
      <c r="I53" s="310"/>
      <c r="J53" s="482">
        <f>D53/12</f>
        <v>12666.666666666666</v>
      </c>
      <c r="N53" s="185"/>
      <c r="O53" s="290" t="s">
        <v>515</v>
      </c>
      <c r="P53" s="476">
        <v>15</v>
      </c>
      <c r="Q53" s="477">
        <f>152000/12</f>
        <v>12666.666666666666</v>
      </c>
      <c r="R53" s="459">
        <f>+Q53*P53*0.85</f>
        <v>161500</v>
      </c>
      <c r="S53" s="459">
        <f>+Q53*P53*0.15</f>
        <v>28500</v>
      </c>
      <c r="T53" s="456"/>
      <c r="U53" s="478"/>
      <c r="V53" s="479"/>
      <c r="X53" s="2899">
        <f>P53-C53</f>
        <v>14</v>
      </c>
      <c r="Y53" s="2899">
        <f>Q53-D53/12</f>
        <v>0</v>
      </c>
      <c r="Z53" s="2899">
        <f t="shared" ref="Z53:AA55" si="13">R53-E53</f>
        <v>32300</v>
      </c>
      <c r="AA53" s="2899">
        <f t="shared" si="13"/>
        <v>5700</v>
      </c>
      <c r="AB53" s="2907"/>
      <c r="AC53" s="2899">
        <f t="shared" si="12"/>
        <v>0</v>
      </c>
      <c r="AD53" s="2899">
        <f t="shared" si="12"/>
        <v>0</v>
      </c>
    </row>
    <row r="54" spans="1:50" ht="14.25" x14ac:dyDescent="0.2">
      <c r="A54" s="185"/>
      <c r="B54" s="290" t="s">
        <v>442</v>
      </c>
      <c r="C54" s="405">
        <v>1</v>
      </c>
      <c r="D54" s="401">
        <f>6000*$J$1</f>
        <v>22800</v>
      </c>
      <c r="E54" s="231">
        <f>+D54*C54*0.85</f>
        <v>19380</v>
      </c>
      <c r="F54" s="401">
        <f>D54*C54*0.15</f>
        <v>3420</v>
      </c>
      <c r="G54" s="5"/>
      <c r="H54" s="304"/>
      <c r="I54" s="310"/>
      <c r="J54" s="482">
        <f>D54/12</f>
        <v>1900</v>
      </c>
      <c r="N54" s="185"/>
      <c r="O54" s="226" t="s">
        <v>442</v>
      </c>
      <c r="P54" s="476">
        <v>15</v>
      </c>
      <c r="Q54" s="460">
        <v>1900</v>
      </c>
      <c r="R54" s="459">
        <f>+Q54*P54*0.85</f>
        <v>24225</v>
      </c>
      <c r="S54" s="459">
        <f>+Q54*P54*0.15</f>
        <v>4275</v>
      </c>
      <c r="T54" s="456"/>
      <c r="U54" s="478"/>
      <c r="V54" s="479"/>
      <c r="X54" s="2899">
        <f>P54-C54</f>
        <v>14</v>
      </c>
      <c r="Y54" s="2899">
        <f>Q54-D54/12</f>
        <v>0</v>
      </c>
      <c r="Z54" s="2899">
        <f t="shared" si="13"/>
        <v>4845</v>
      </c>
      <c r="AA54" s="2899">
        <f t="shared" si="13"/>
        <v>855</v>
      </c>
      <c r="AB54" s="2907"/>
      <c r="AC54" s="2899">
        <f t="shared" si="12"/>
        <v>0</v>
      </c>
      <c r="AD54" s="2899">
        <f t="shared" si="12"/>
        <v>0</v>
      </c>
    </row>
    <row r="55" spans="1:50" s="412" customFormat="1" ht="42.75" x14ac:dyDescent="0.2">
      <c r="A55" s="185"/>
      <c r="B55" s="408" t="s">
        <v>443</v>
      </c>
      <c r="C55" s="405">
        <v>1</v>
      </c>
      <c r="D55" s="401">
        <f>+(2200+60*7+180*7+20*7)*$J$1</f>
        <v>15276</v>
      </c>
      <c r="E55" s="231">
        <f>+D55*C55*0.85</f>
        <v>12984.6</v>
      </c>
      <c r="F55" s="401">
        <f>D55*C55*0.15</f>
        <v>2291.4</v>
      </c>
      <c r="G55" s="5"/>
      <c r="H55" s="304"/>
      <c r="I55" s="310"/>
      <c r="J55" s="44"/>
      <c r="N55" s="185"/>
      <c r="O55" s="408" t="s">
        <v>516</v>
      </c>
      <c r="P55" s="476">
        <v>1</v>
      </c>
      <c r="Q55" s="460">
        <f>+(30*5+200*5+200+1900)*$J$1</f>
        <v>12350</v>
      </c>
      <c r="R55" s="459">
        <f>+Q55*P55*0.85</f>
        <v>10497.5</v>
      </c>
      <c r="S55" s="459">
        <f>+Q55*P55*0.15</f>
        <v>1852.5</v>
      </c>
      <c r="T55" s="456"/>
      <c r="U55" s="478"/>
      <c r="V55" s="479"/>
      <c r="X55" s="2899">
        <f>P55-C55</f>
        <v>0</v>
      </c>
      <c r="Y55" s="2899">
        <f>Q55-D55</f>
        <v>-2926</v>
      </c>
      <c r="Z55" s="2899">
        <f t="shared" si="13"/>
        <v>-2487.1000000000004</v>
      </c>
      <c r="AA55" s="2899">
        <f t="shared" si="13"/>
        <v>-438.90000000000009</v>
      </c>
      <c r="AB55" s="2907"/>
      <c r="AC55" s="2899">
        <f t="shared" si="12"/>
        <v>0</v>
      </c>
      <c r="AD55" s="2899">
        <f t="shared" si="12"/>
        <v>0</v>
      </c>
    </row>
    <row r="56" spans="1:50" s="44" customFormat="1" ht="15.75" thickBot="1" x14ac:dyDescent="0.3">
      <c r="A56" s="200"/>
      <c r="B56" s="384" t="s">
        <v>13</v>
      </c>
      <c r="C56" s="234"/>
      <c r="D56" s="234"/>
      <c r="E56" s="235">
        <f>SUM(E53:E55)</f>
        <v>161564.6</v>
      </c>
      <c r="F56" s="235">
        <f>SUM(F53:F55)</f>
        <v>28511.4</v>
      </c>
      <c r="G56" s="7"/>
      <c r="H56" s="235"/>
      <c r="I56" s="238"/>
      <c r="N56" s="185"/>
      <c r="O56" s="373" t="s">
        <v>13</v>
      </c>
      <c r="P56" s="513"/>
      <c r="Q56" s="513"/>
      <c r="R56" s="513">
        <f>SUM(R53:R55)</f>
        <v>196222.5</v>
      </c>
      <c r="S56" s="513">
        <f>SUM(S53:S55)</f>
        <v>34627.5</v>
      </c>
      <c r="T56" s="514"/>
      <c r="U56" s="197"/>
      <c r="V56" s="228"/>
      <c r="X56" s="2908"/>
      <c r="Y56" s="2908"/>
      <c r="Z56" s="2909">
        <f>SUM(Z52:Z55)</f>
        <v>34657.9</v>
      </c>
      <c r="AA56" s="2909">
        <f>SUM(AA52:AA55)</f>
        <v>6116.1</v>
      </c>
      <c r="AB56" s="2908"/>
      <c r="AC56" s="2910"/>
      <c r="AD56" s="2909">
        <f>SUM(AD52:AD55)</f>
        <v>0</v>
      </c>
    </row>
    <row r="57" spans="1:50" s="44" customFormat="1" ht="18.75" thickBot="1" x14ac:dyDescent="0.3">
      <c r="A57" s="201"/>
      <c r="B57" s="409"/>
      <c r="C57" s="208"/>
      <c r="D57" s="208"/>
      <c r="E57" s="208"/>
      <c r="F57" s="208"/>
      <c r="G57" s="208"/>
      <c r="H57" s="208"/>
      <c r="I57" s="208"/>
      <c r="J57" s="208"/>
      <c r="N57" s="200"/>
      <c r="O57" s="3304" t="s">
        <v>517</v>
      </c>
      <c r="P57" s="3305"/>
      <c r="Q57" s="3305"/>
      <c r="R57" s="3305"/>
      <c r="S57" s="3305"/>
      <c r="T57" s="3305"/>
      <c r="U57" s="3306"/>
      <c r="V57" s="433"/>
      <c r="X57" s="2911"/>
      <c r="Y57" s="2911"/>
      <c r="Z57" s="2911"/>
      <c r="AA57" s="2911"/>
      <c r="AB57" s="2911"/>
      <c r="AC57" s="2911"/>
      <c r="AD57" s="2911"/>
    </row>
    <row r="58" spans="1:50" s="44" customFormat="1" ht="18.75" thickBot="1" x14ac:dyDescent="0.3">
      <c r="A58" s="409"/>
      <c r="B58" s="208"/>
      <c r="C58" s="208"/>
      <c r="D58" s="208"/>
      <c r="E58" s="208"/>
      <c r="F58" s="208"/>
      <c r="G58" s="208"/>
      <c r="H58" s="208"/>
      <c r="I58" s="208"/>
      <c r="J58"/>
      <c r="R58" s="407">
        <f>R56-'[7]פורמט משרד מקוצר'!$Q$117</f>
        <v>0</v>
      </c>
      <c r="S58" s="407">
        <f>S56-'[7]פורמט משרד מקוצר'!$R$117</f>
        <v>0</v>
      </c>
      <c r="X58" s="2900"/>
      <c r="Y58" s="2900"/>
      <c r="Z58" s="2900"/>
      <c r="AA58" s="2900"/>
      <c r="AB58" s="2900"/>
      <c r="AC58" s="2900"/>
      <c r="AD58" s="2900"/>
      <c r="AH58" s="407"/>
      <c r="AI58" s="407"/>
      <c r="AJ58" s="407"/>
      <c r="AQ58" s="407"/>
    </row>
    <row r="59" spans="1:50" s="44" customFormat="1" ht="30" x14ac:dyDescent="0.25">
      <c r="A59" s="483">
        <v>6</v>
      </c>
      <c r="B59" s="211" t="s">
        <v>444</v>
      </c>
      <c r="C59" s="3282" t="s">
        <v>410</v>
      </c>
      <c r="D59" s="3284"/>
      <c r="E59" s="3285"/>
      <c r="F59" s="385"/>
      <c r="G59" s="411"/>
      <c r="H59" s="3282" t="s">
        <v>88</v>
      </c>
      <c r="I59" s="3283"/>
      <c r="J59" s="412"/>
      <c r="N59" s="483">
        <v>6</v>
      </c>
      <c r="O59" s="211" t="s">
        <v>444</v>
      </c>
      <c r="P59" s="3186" t="s">
        <v>812</v>
      </c>
      <c r="Q59" s="3186"/>
      <c r="R59" s="3186"/>
      <c r="S59" s="2151"/>
      <c r="T59" s="411"/>
      <c r="U59" s="3272" t="s">
        <v>88</v>
      </c>
      <c r="V59" s="3273"/>
      <c r="X59" s="3300" t="s">
        <v>506</v>
      </c>
      <c r="Y59" s="3300"/>
      <c r="Z59" s="3300"/>
      <c r="AA59" s="2901"/>
      <c r="AB59" s="2902"/>
      <c r="AC59" s="3295" t="s">
        <v>88</v>
      </c>
      <c r="AD59" s="3296"/>
      <c r="AS59" s="407"/>
    </row>
    <row r="60" spans="1:50" ht="60" x14ac:dyDescent="0.25">
      <c r="A60" s="185"/>
      <c r="B60" s="187" t="s">
        <v>89</v>
      </c>
      <c r="C60" s="187" t="s">
        <v>54</v>
      </c>
      <c r="D60" s="186" t="s">
        <v>91</v>
      </c>
      <c r="E60" s="186" t="s">
        <v>92</v>
      </c>
      <c r="F60" s="186" t="s">
        <v>106</v>
      </c>
      <c r="G60" s="5"/>
      <c r="H60" s="187" t="s">
        <v>54</v>
      </c>
      <c r="I60" s="188" t="s">
        <v>92</v>
      </c>
      <c r="J60" s="44"/>
      <c r="N60" s="185"/>
      <c r="O60" s="187" t="s">
        <v>89</v>
      </c>
      <c r="P60" s="187" t="s">
        <v>54</v>
      </c>
      <c r="Q60" s="186" t="s">
        <v>91</v>
      </c>
      <c r="R60" s="453" t="s">
        <v>502</v>
      </c>
      <c r="S60" s="186" t="s">
        <v>106</v>
      </c>
      <c r="T60" s="456"/>
      <c r="U60" s="187" t="s">
        <v>54</v>
      </c>
      <c r="V60" s="455" t="s">
        <v>502</v>
      </c>
      <c r="X60" s="2903" t="s">
        <v>90</v>
      </c>
      <c r="Y60" s="2903" t="s">
        <v>91</v>
      </c>
      <c r="Z60" s="2903" t="s">
        <v>507</v>
      </c>
      <c r="AA60" s="2903"/>
      <c r="AB60" s="2904"/>
      <c r="AC60" s="2905" t="s">
        <v>54</v>
      </c>
      <c r="AD60" s="2906" t="s">
        <v>507</v>
      </c>
    </row>
    <row r="61" spans="1:50" ht="14.25" x14ac:dyDescent="0.2">
      <c r="A61" s="185"/>
      <c r="B61" s="290" t="s">
        <v>445</v>
      </c>
      <c r="C61" s="380">
        <v>1</v>
      </c>
      <c r="D61" s="401"/>
      <c r="E61" s="231"/>
      <c r="F61" s="231"/>
      <c r="G61" s="5"/>
      <c r="H61" s="232"/>
      <c r="I61" s="233"/>
      <c r="J61" s="44"/>
      <c r="N61" s="185"/>
      <c r="O61" s="290" t="s">
        <v>445</v>
      </c>
      <c r="P61" s="484">
        <v>1</v>
      </c>
      <c r="Q61" s="477"/>
      <c r="R61" s="459"/>
      <c r="S61" s="459"/>
      <c r="T61" s="456"/>
      <c r="U61" s="232"/>
      <c r="V61" s="233"/>
      <c r="X61" s="2899">
        <f t="shared" ref="X61:AA65" si="14">P61-C61</f>
        <v>0</v>
      </c>
      <c r="Y61" s="2899">
        <f t="shared" si="14"/>
        <v>0</v>
      </c>
      <c r="Z61" s="2899">
        <f t="shared" si="14"/>
        <v>0</v>
      </c>
      <c r="AA61" s="2899">
        <f t="shared" si="14"/>
        <v>0</v>
      </c>
      <c r="AB61" s="2907"/>
      <c r="AC61" s="2899">
        <f t="shared" ref="AC61:AD65" si="15">U61-H61</f>
        <v>0</v>
      </c>
      <c r="AD61" s="2899">
        <f t="shared" si="15"/>
        <v>0</v>
      </c>
    </row>
    <row r="62" spans="1:50" ht="42.75" x14ac:dyDescent="0.2">
      <c r="A62" s="185"/>
      <c r="B62" s="290" t="s">
        <v>446</v>
      </c>
      <c r="C62" s="380">
        <f>$C$61</f>
        <v>1</v>
      </c>
      <c r="D62" s="401">
        <f>+(2200+60*14+180*14+20*14)*$J$1</f>
        <v>22192</v>
      </c>
      <c r="E62" s="231">
        <f>+D62*C62</f>
        <v>22192</v>
      </c>
      <c r="F62" s="231"/>
      <c r="G62" s="5"/>
      <c r="H62" s="232"/>
      <c r="I62" s="233">
        <f>+H62*D62</f>
        <v>0</v>
      </c>
      <c r="J62" s="44"/>
      <c r="N62" s="185"/>
      <c r="O62" s="290" t="s">
        <v>655</v>
      </c>
      <c r="P62" s="484">
        <f>P61</f>
        <v>1</v>
      </c>
      <c r="Q62" s="477">
        <f>+(1900+60*14+120*14+20*14)*$J$1</f>
        <v>17860</v>
      </c>
      <c r="R62" s="459">
        <f>+Q62*P62</f>
        <v>17860</v>
      </c>
      <c r="S62" s="459"/>
      <c r="T62" s="456"/>
      <c r="U62" s="232"/>
      <c r="V62" s="233">
        <f>+U62*Q62</f>
        <v>0</v>
      </c>
      <c r="X62" s="2899">
        <f t="shared" si="14"/>
        <v>0</v>
      </c>
      <c r="Y62" s="2899">
        <f t="shared" si="14"/>
        <v>-4332</v>
      </c>
      <c r="Z62" s="2899">
        <f t="shared" si="14"/>
        <v>-4332</v>
      </c>
      <c r="AA62" s="2899">
        <f t="shared" si="14"/>
        <v>0</v>
      </c>
      <c r="AB62" s="2907"/>
      <c r="AC62" s="2899">
        <f t="shared" si="15"/>
        <v>0</v>
      </c>
      <c r="AD62" s="2899">
        <f t="shared" si="15"/>
        <v>0</v>
      </c>
    </row>
    <row r="63" spans="1:50" s="227" customFormat="1" ht="15.75" x14ac:dyDescent="0.25">
      <c r="A63" s="185"/>
      <c r="B63" s="290" t="s">
        <v>447</v>
      </c>
      <c r="C63" s="380">
        <f>$C$61</f>
        <v>1</v>
      </c>
      <c r="D63" s="393">
        <f>100000-E62</f>
        <v>77808</v>
      </c>
      <c r="E63" s="231">
        <f>+D63*C63</f>
        <v>77808</v>
      </c>
      <c r="F63" s="231"/>
      <c r="G63" s="5"/>
      <c r="H63" s="232"/>
      <c r="I63" s="233">
        <f>+H63*D63</f>
        <v>0</v>
      </c>
      <c r="J63" s="44"/>
      <c r="N63" s="185"/>
      <c r="O63" s="290" t="s">
        <v>447</v>
      </c>
      <c r="P63" s="484">
        <f>P62</f>
        <v>1</v>
      </c>
      <c r="Q63" s="460">
        <v>48406</v>
      </c>
      <c r="R63" s="459">
        <f>+Q63*P63</f>
        <v>48406</v>
      </c>
      <c r="S63" s="459"/>
      <c r="T63" s="456"/>
      <c r="U63" s="232"/>
      <c r="V63" s="233">
        <f>+U63*Q63</f>
        <v>0</v>
      </c>
      <c r="X63" s="2899">
        <f t="shared" si="14"/>
        <v>0</v>
      </c>
      <c r="Y63" s="2899">
        <f t="shared" si="14"/>
        <v>-29402</v>
      </c>
      <c r="Z63" s="2899">
        <f t="shared" si="14"/>
        <v>-29402</v>
      </c>
      <c r="AA63" s="2899">
        <f t="shared" si="14"/>
        <v>0</v>
      </c>
      <c r="AB63" s="2907"/>
      <c r="AC63" s="2899">
        <f t="shared" si="15"/>
        <v>0</v>
      </c>
      <c r="AD63" s="2899">
        <f t="shared" si="15"/>
        <v>0</v>
      </c>
    </row>
    <row r="64" spans="1:50" x14ac:dyDescent="0.25">
      <c r="A64" s="185"/>
      <c r="B64" s="290"/>
      <c r="C64" s="380"/>
      <c r="D64" s="393"/>
      <c r="E64" s="231"/>
      <c r="F64" s="231"/>
      <c r="G64" s="5"/>
      <c r="H64" s="232"/>
      <c r="I64" s="233"/>
      <c r="J64" s="44"/>
      <c r="N64" s="185"/>
      <c r="O64" s="189" t="s">
        <v>519</v>
      </c>
      <c r="P64" s="485">
        <v>4</v>
      </c>
      <c r="Q64" s="190"/>
      <c r="R64" s="469"/>
      <c r="S64" s="459"/>
      <c r="T64" s="456"/>
      <c r="U64" s="232"/>
      <c r="V64" s="233"/>
      <c r="X64" s="2899">
        <f t="shared" si="14"/>
        <v>4</v>
      </c>
      <c r="Y64" s="2899">
        <f t="shared" si="14"/>
        <v>0</v>
      </c>
      <c r="Z64" s="2899">
        <f t="shared" si="14"/>
        <v>0</v>
      </c>
      <c r="AA64" s="2899">
        <f t="shared" si="14"/>
        <v>0</v>
      </c>
      <c r="AB64" s="2907"/>
      <c r="AC64" s="2899">
        <f t="shared" si="15"/>
        <v>0</v>
      </c>
      <c r="AD64" s="2899">
        <f t="shared" si="15"/>
        <v>0</v>
      </c>
    </row>
    <row r="65" spans="1:43" ht="28.5" x14ac:dyDescent="0.2">
      <c r="A65" s="185"/>
      <c r="B65" s="290"/>
      <c r="C65" s="380"/>
      <c r="D65" s="393"/>
      <c r="E65" s="231"/>
      <c r="F65" s="231"/>
      <c r="G65" s="5"/>
      <c r="H65" s="232"/>
      <c r="I65" s="233"/>
      <c r="J65" s="44"/>
      <c r="N65" s="185"/>
      <c r="O65" s="515" t="s">
        <v>835</v>
      </c>
      <c r="P65" s="486">
        <v>4</v>
      </c>
      <c r="Q65" s="486">
        <f>((318*1.17*2)*(3*1.5))+1000+1000*$J$1</f>
        <v>8148.54</v>
      </c>
      <c r="R65" s="487">
        <f>Q65*P65</f>
        <v>32594.16</v>
      </c>
      <c r="S65" s="459"/>
      <c r="T65" s="456"/>
      <c r="U65" s="232"/>
      <c r="V65" s="233"/>
      <c r="X65" s="2899">
        <f t="shared" si="14"/>
        <v>4</v>
      </c>
      <c r="Y65" s="2899">
        <f t="shared" si="14"/>
        <v>8148.54</v>
      </c>
      <c r="Z65" s="2899">
        <f t="shared" si="14"/>
        <v>32594.16</v>
      </c>
      <c r="AA65" s="2899">
        <f t="shared" si="14"/>
        <v>0</v>
      </c>
      <c r="AB65" s="2907"/>
      <c r="AC65" s="2899">
        <f t="shared" si="15"/>
        <v>0</v>
      </c>
      <c r="AD65" s="2899">
        <f t="shared" si="15"/>
        <v>0</v>
      </c>
      <c r="AL65" s="91"/>
    </row>
    <row r="66" spans="1:43" ht="15.75" thickBot="1" x14ac:dyDescent="0.3">
      <c r="A66" s="200"/>
      <c r="B66" s="384" t="s">
        <v>13</v>
      </c>
      <c r="C66" s="234"/>
      <c r="D66" s="234"/>
      <c r="E66" s="235">
        <f>SUM(E62:E65)</f>
        <v>100000</v>
      </c>
      <c r="F66" s="235"/>
      <c r="G66" s="236"/>
      <c r="H66" s="237"/>
      <c r="I66" s="238">
        <f>SUM(I62:I65)</f>
        <v>0</v>
      </c>
      <c r="N66" s="185"/>
      <c r="O66" s="373" t="s">
        <v>13</v>
      </c>
      <c r="P66" s="461"/>
      <c r="Q66" s="461"/>
      <c r="R66" s="197">
        <f>SUM(R62:R65)</f>
        <v>98860.160000000003</v>
      </c>
      <c r="S66" s="197"/>
      <c r="T66" s="194"/>
      <c r="U66" s="462"/>
      <c r="V66" s="228">
        <f>SUM(V62:V65)</f>
        <v>0</v>
      </c>
      <c r="X66" s="2908"/>
      <c r="Y66" s="2908"/>
      <c r="Z66" s="2909">
        <f>SUM(Z61:Z65)</f>
        <v>-1139.8400000000001</v>
      </c>
      <c r="AA66" s="2909">
        <f>SUM(AA61:AA65)</f>
        <v>0</v>
      </c>
      <c r="AB66" s="2908"/>
      <c r="AC66" s="2910"/>
      <c r="AD66" s="2909">
        <f>SUM(AD61:AD65)</f>
        <v>0</v>
      </c>
    </row>
    <row r="67" spans="1:43" x14ac:dyDescent="0.25">
      <c r="A67" s="488"/>
      <c r="B67" s="3286"/>
      <c r="C67" s="3287"/>
      <c r="D67" s="3287"/>
      <c r="E67" s="3287"/>
      <c r="F67" s="3287"/>
      <c r="G67" s="3287"/>
      <c r="H67" s="3287"/>
      <c r="I67" s="3288"/>
      <c r="N67" s="488"/>
      <c r="O67" s="3314" t="s">
        <v>472</v>
      </c>
      <c r="P67" s="3315"/>
      <c r="Q67" s="3315"/>
      <c r="R67" s="3315"/>
      <c r="S67" s="3315"/>
      <c r="T67" s="3315"/>
      <c r="U67" s="3316"/>
      <c r="V67" s="382">
        <f>-R66+[2]ארגנטינה!$R$78</f>
        <v>0</v>
      </c>
    </row>
    <row r="68" spans="1:43" s="208" customFormat="1" x14ac:dyDescent="0.25">
      <c r="A68" s="201"/>
      <c r="B68" s="202"/>
      <c r="C68" s="202"/>
      <c r="D68" s="202"/>
      <c r="E68" s="202"/>
      <c r="F68" s="202"/>
      <c r="G68" s="202"/>
      <c r="H68" s="202"/>
      <c r="I68" s="202"/>
      <c r="J68" s="44"/>
      <c r="N68" s="488"/>
      <c r="O68" s="3317" t="s">
        <v>531</v>
      </c>
      <c r="P68" s="3317"/>
      <c r="Q68" s="3317"/>
      <c r="R68" s="3317"/>
      <c r="S68" s="3317"/>
      <c r="T68" s="3317"/>
      <c r="U68" s="3317"/>
      <c r="V68" s="382"/>
      <c r="X68" s="2900"/>
      <c r="Y68" s="2900"/>
      <c r="Z68" s="2900"/>
      <c r="AA68" s="2900"/>
      <c r="AB68" s="2900"/>
      <c r="AC68" s="2900"/>
      <c r="AD68" s="2900"/>
    </row>
    <row r="69" spans="1:43" s="208" customFormat="1" ht="15.75" thickBot="1" x14ac:dyDescent="0.3">
      <c r="A69" s="201"/>
      <c r="B69" s="202"/>
      <c r="C69" s="202"/>
      <c r="D69" s="202"/>
      <c r="E69" s="202"/>
      <c r="F69" s="202"/>
      <c r="G69" s="202"/>
      <c r="H69" s="202"/>
      <c r="I69" s="202"/>
      <c r="J69" s="44"/>
      <c r="N69" s="490"/>
      <c r="O69" s="3301"/>
      <c r="P69" s="3302"/>
      <c r="Q69" s="3302"/>
      <c r="R69" s="3302"/>
      <c r="S69" s="3302"/>
      <c r="T69" s="3302"/>
      <c r="U69" s="3303"/>
      <c r="V69" s="491"/>
      <c r="X69" s="2919"/>
      <c r="Y69" s="2919"/>
      <c r="Z69" s="2919"/>
      <c r="AA69" s="2919"/>
      <c r="AB69" s="2919"/>
      <c r="AC69" s="2919"/>
      <c r="AD69" s="2919"/>
    </row>
    <row r="70" spans="1:43" s="208" customFormat="1" ht="15.75" thickBot="1" x14ac:dyDescent="0.3">
      <c r="A70" s="201"/>
      <c r="B70" s="202"/>
      <c r="C70" s="202"/>
      <c r="D70" s="202"/>
      <c r="E70" s="202"/>
      <c r="F70" s="202"/>
      <c r="G70" s="202"/>
      <c r="H70" s="202"/>
      <c r="I70" s="202"/>
      <c r="J70" s="44"/>
      <c r="X70" s="2900"/>
      <c r="Y70" s="2900"/>
      <c r="Z70" s="2900"/>
      <c r="AA70" s="2900"/>
      <c r="AB70" s="2900"/>
      <c r="AC70" s="2900"/>
      <c r="AD70" s="2900"/>
    </row>
    <row r="71" spans="1:43" s="208" customFormat="1" ht="15.75" customHeight="1" x14ac:dyDescent="0.25">
      <c r="A71" s="182">
        <v>7</v>
      </c>
      <c r="B71" s="241" t="s">
        <v>448</v>
      </c>
      <c r="C71" s="3274" t="s">
        <v>398</v>
      </c>
      <c r="D71" s="3275"/>
      <c r="E71" s="3276"/>
      <c r="F71" s="448"/>
      <c r="G71" s="3289"/>
      <c r="H71" s="3282" t="s">
        <v>88</v>
      </c>
      <c r="I71" s="3283"/>
      <c r="J71" s="227"/>
      <c r="N71" s="182">
        <v>7</v>
      </c>
      <c r="O71" s="241" t="s">
        <v>448</v>
      </c>
      <c r="P71" s="3186" t="s">
        <v>812</v>
      </c>
      <c r="Q71" s="3186"/>
      <c r="R71" s="3186"/>
      <c r="S71" s="2151"/>
      <c r="T71" s="3321"/>
      <c r="U71" s="3272" t="s">
        <v>88</v>
      </c>
      <c r="V71" s="3273"/>
      <c r="X71" s="3300" t="s">
        <v>506</v>
      </c>
      <c r="Y71" s="3300"/>
      <c r="Z71" s="3300"/>
      <c r="AA71" s="2901"/>
      <c r="AB71" s="2902"/>
      <c r="AC71" s="3295" t="s">
        <v>88</v>
      </c>
      <c r="AD71" s="3296"/>
      <c r="AI71" s="424"/>
      <c r="AJ71" s="424"/>
    </row>
    <row r="72" spans="1:43" s="208" customFormat="1" ht="60" x14ac:dyDescent="0.25">
      <c r="A72" s="185"/>
      <c r="B72" s="187" t="s">
        <v>89</v>
      </c>
      <c r="C72" s="194" t="s">
        <v>54</v>
      </c>
      <c r="D72" s="186" t="s">
        <v>91</v>
      </c>
      <c r="E72" s="186" t="s">
        <v>105</v>
      </c>
      <c r="F72" s="186" t="s">
        <v>106</v>
      </c>
      <c r="G72" s="3290"/>
      <c r="H72" s="187" t="s">
        <v>166</v>
      </c>
      <c r="I72" s="188" t="s">
        <v>92</v>
      </c>
      <c r="J72"/>
      <c r="N72" s="185"/>
      <c r="O72" s="187" t="s">
        <v>89</v>
      </c>
      <c r="P72" s="186" t="s">
        <v>54</v>
      </c>
      <c r="Q72" s="186" t="s">
        <v>91</v>
      </c>
      <c r="R72" s="186" t="s">
        <v>105</v>
      </c>
      <c r="S72" s="186" t="s">
        <v>106</v>
      </c>
      <c r="T72" s="3322"/>
      <c r="U72" s="187" t="s">
        <v>166</v>
      </c>
      <c r="V72" s="188" t="s">
        <v>92</v>
      </c>
      <c r="X72" s="2903" t="s">
        <v>90</v>
      </c>
      <c r="Y72" s="2903" t="s">
        <v>91</v>
      </c>
      <c r="Z72" s="2903" t="s">
        <v>507</v>
      </c>
      <c r="AA72" s="2903"/>
      <c r="AB72" s="2904"/>
      <c r="AC72" s="2905" t="s">
        <v>54</v>
      </c>
      <c r="AD72" s="2906" t="s">
        <v>507</v>
      </c>
      <c r="AO72" s="424"/>
    </row>
    <row r="73" spans="1:43" s="208" customFormat="1" ht="14.25" customHeight="1" x14ac:dyDescent="0.2">
      <c r="A73" s="185"/>
      <c r="B73" s="290"/>
      <c r="C73" s="405"/>
      <c r="D73" s="401"/>
      <c r="E73" s="231"/>
      <c r="F73" s="401"/>
      <c r="G73" s="3290"/>
      <c r="H73" s="414"/>
      <c r="I73" s="233"/>
      <c r="J73"/>
      <c r="N73" s="185"/>
      <c r="O73" s="290" t="s">
        <v>608</v>
      </c>
      <c r="P73" s="594">
        <v>1</v>
      </c>
      <c r="Q73" s="429"/>
      <c r="R73" s="430"/>
      <c r="S73" s="430"/>
      <c r="T73" s="3322"/>
      <c r="U73" s="414"/>
      <c r="V73" s="233"/>
      <c r="X73" s="2899">
        <f>P73-C73</f>
        <v>1</v>
      </c>
      <c r="Y73" s="2899">
        <f>Q73-D73</f>
        <v>0</v>
      </c>
      <c r="Z73" s="2899">
        <f>R73-E73</f>
        <v>0</v>
      </c>
      <c r="AA73" s="2899">
        <f>S73-F73</f>
        <v>0</v>
      </c>
      <c r="AB73" s="2907"/>
      <c r="AC73" s="2899">
        <f>U73-H73</f>
        <v>0</v>
      </c>
      <c r="AD73" s="2899">
        <f>V73-I73</f>
        <v>0</v>
      </c>
    </row>
    <row r="74" spans="1:43" s="208" customFormat="1" ht="42.75" customHeight="1" x14ac:dyDescent="0.2">
      <c r="A74" s="185"/>
      <c r="B74" s="290" t="s">
        <v>441</v>
      </c>
      <c r="C74" s="405">
        <v>1</v>
      </c>
      <c r="D74" s="401">
        <f>40000*$J$1</f>
        <v>152000</v>
      </c>
      <c r="E74" s="231">
        <f>+D74*C74*0.85</f>
        <v>129200</v>
      </c>
      <c r="F74" s="401">
        <f>D74*C74*0.15</f>
        <v>22800</v>
      </c>
      <c r="G74" s="3290"/>
      <c r="H74" s="414" t="s">
        <v>155</v>
      </c>
      <c r="I74" s="233">
        <f>150000-F77</f>
        <v>121374.6</v>
      </c>
      <c r="J74" s="276">
        <f>D74/12</f>
        <v>12666.666666666666</v>
      </c>
      <c r="N74" s="185"/>
      <c r="O74" s="290" t="s">
        <v>441</v>
      </c>
      <c r="P74" s="557">
        <v>12</v>
      </c>
      <c r="Q74" s="401">
        <f>40000*$J$1/12</f>
        <v>12666.666666666666</v>
      </c>
      <c r="R74" s="430">
        <f>0.85*Q74*P74</f>
        <v>129200</v>
      </c>
      <c r="S74" s="430">
        <f>Q74*P74*0.15</f>
        <v>22800</v>
      </c>
      <c r="T74" s="3322"/>
      <c r="U74" s="414" t="s">
        <v>155</v>
      </c>
      <c r="V74" s="233">
        <f>150000-S77</f>
        <v>123780</v>
      </c>
      <c r="X74" s="2899">
        <f>P74-C74</f>
        <v>11</v>
      </c>
      <c r="Y74" s="2899">
        <f>Q74-D74/12</f>
        <v>0</v>
      </c>
      <c r="Z74" s="2899">
        <f t="shared" ref="Z74:AA76" si="16">R74-E74</f>
        <v>0</v>
      </c>
      <c r="AA74" s="2899">
        <f t="shared" si="16"/>
        <v>0</v>
      </c>
      <c r="AB74" s="2907"/>
      <c r="AC74" s="2899"/>
      <c r="AD74" s="2899">
        <f>V74-I74</f>
        <v>2405.3999999999942</v>
      </c>
    </row>
    <row r="75" spans="1:43" s="208" customFormat="1" ht="14.25" customHeight="1" x14ac:dyDescent="0.2">
      <c r="A75" s="185"/>
      <c r="B75" s="290" t="s">
        <v>442</v>
      </c>
      <c r="C75" s="405">
        <v>1</v>
      </c>
      <c r="D75" s="401">
        <f>6000*$J$1</f>
        <v>22800</v>
      </c>
      <c r="E75" s="231">
        <f>+D75*C75*0.85</f>
        <v>19380</v>
      </c>
      <c r="F75" s="401">
        <f>D75*C75*0.15</f>
        <v>3420</v>
      </c>
      <c r="G75" s="3290"/>
      <c r="H75" s="232"/>
      <c r="I75" s="233"/>
      <c r="J75" s="276">
        <f>D75/12</f>
        <v>1900</v>
      </c>
      <c r="N75" s="185"/>
      <c r="O75" s="290" t="s">
        <v>442</v>
      </c>
      <c r="P75" s="558">
        <v>12</v>
      </c>
      <c r="Q75" s="401">
        <f>6000*$J$1/12</f>
        <v>1900</v>
      </c>
      <c r="R75" s="430">
        <f>0.85*Q75*P75</f>
        <v>19380</v>
      </c>
      <c r="S75" s="430">
        <f>Q75*P75*0.15</f>
        <v>3420</v>
      </c>
      <c r="T75" s="3322"/>
      <c r="U75" s="232"/>
      <c r="V75" s="233"/>
      <c r="X75" s="2899">
        <f>P75-C75</f>
        <v>11</v>
      </c>
      <c r="Y75" s="2899">
        <f>Q75-D75/12</f>
        <v>0</v>
      </c>
      <c r="Z75" s="2899">
        <f t="shared" si="16"/>
        <v>0</v>
      </c>
      <c r="AA75" s="2899">
        <f t="shared" si="16"/>
        <v>0</v>
      </c>
      <c r="AB75" s="2907"/>
      <c r="AC75" s="2899">
        <f>U75-H75</f>
        <v>0</v>
      </c>
      <c r="AD75" s="2899">
        <f>V75-I75</f>
        <v>0</v>
      </c>
      <c r="AH75" s="424"/>
      <c r="AI75" s="424"/>
      <c r="AJ75" s="424"/>
    </row>
    <row r="76" spans="1:43" s="208" customFormat="1" ht="14.25" customHeight="1" x14ac:dyDescent="0.2">
      <c r="A76" s="185"/>
      <c r="B76" s="408" t="s">
        <v>449</v>
      </c>
      <c r="C76" s="405">
        <v>1</v>
      </c>
      <c r="D76" s="401">
        <f>4220*J1</f>
        <v>16036</v>
      </c>
      <c r="E76" s="231">
        <f>+D76*C76*0.85</f>
        <v>13630.6</v>
      </c>
      <c r="F76" s="401">
        <f>D76*C76*0.15</f>
        <v>2405.4</v>
      </c>
      <c r="G76" s="3290"/>
      <c r="H76" s="232"/>
      <c r="I76" s="233"/>
      <c r="J76" s="276">
        <f>D76/12</f>
        <v>1336.3333333333333</v>
      </c>
      <c r="N76" s="185"/>
      <c r="O76" s="408" t="s">
        <v>449</v>
      </c>
      <c r="P76" s="558">
        <v>12</v>
      </c>
      <c r="Q76" s="401">
        <f>4220*$J$1/12</f>
        <v>1336.3333333333333</v>
      </c>
      <c r="R76" s="430">
        <f>Q76*P76</f>
        <v>16036</v>
      </c>
      <c r="S76" s="430"/>
      <c r="T76" s="3322"/>
      <c r="U76" s="232"/>
      <c r="V76" s="233"/>
      <c r="X76" s="2899">
        <f>P76-C76</f>
        <v>11</v>
      </c>
      <c r="Y76" s="2899">
        <f>Q76-D76/12</f>
        <v>0</v>
      </c>
      <c r="Z76" s="2899">
        <f t="shared" si="16"/>
        <v>2405.3999999999996</v>
      </c>
      <c r="AA76" s="2899">
        <f t="shared" si="16"/>
        <v>-2405.4</v>
      </c>
      <c r="AB76" s="2907"/>
      <c r="AC76" s="2899">
        <f>U76-H76</f>
        <v>0</v>
      </c>
      <c r="AD76" s="2899">
        <f>V76-I76</f>
        <v>0</v>
      </c>
      <c r="AH76" s="424"/>
      <c r="AI76" s="424"/>
      <c r="AJ76" s="424"/>
      <c r="AQ76" s="424"/>
    </row>
    <row r="77" spans="1:43" s="208" customFormat="1" ht="15.75" thickBot="1" x14ac:dyDescent="0.3">
      <c r="A77" s="200"/>
      <c r="B77" s="415" t="s">
        <v>13</v>
      </c>
      <c r="C77" s="416"/>
      <c r="D77" s="416"/>
      <c r="E77" s="243">
        <f>SUM(E74:E76)</f>
        <v>162210.6</v>
      </c>
      <c r="F77" s="243">
        <f>SUM(F74:F76)</f>
        <v>28625.4</v>
      </c>
      <c r="G77" s="3291"/>
      <c r="H77" s="243"/>
      <c r="I77" s="244">
        <f>SUM(I74:I75)</f>
        <v>121374.6</v>
      </c>
      <c r="J77" s="204"/>
      <c r="N77" s="200"/>
      <c r="O77" s="415" t="s">
        <v>13</v>
      </c>
      <c r="P77" s="197"/>
      <c r="Q77" s="197"/>
      <c r="R77" s="197">
        <f>SUM(R74:R76)</f>
        <v>164616</v>
      </c>
      <c r="S77" s="197">
        <f>SUM(S74:S76)</f>
        <v>26220</v>
      </c>
      <c r="T77" s="3323"/>
      <c r="U77" s="243"/>
      <c r="V77" s="244">
        <f>SUM(V74:V75)</f>
        <v>123780</v>
      </c>
      <c r="X77" s="2909"/>
      <c r="Y77" s="2909"/>
      <c r="Z77" s="2909">
        <f>SUM(Z74:Z76)</f>
        <v>2405.3999999999996</v>
      </c>
      <c r="AA77" s="2909">
        <f>SUM(AA74:AA76)</f>
        <v>-2405.4</v>
      </c>
      <c r="AB77" s="2907"/>
      <c r="AC77" s="2916"/>
      <c r="AD77" s="2918">
        <f>SUM(AD74:AD75)</f>
        <v>2405.3999999999942</v>
      </c>
    </row>
    <row r="78" spans="1:43" x14ac:dyDescent="0.25">
      <c r="B78" s="250"/>
      <c r="C78" s="44"/>
      <c r="E78" s="417"/>
      <c r="F78" s="417"/>
      <c r="J78" s="204"/>
      <c r="R78" s="91">
        <v>0</v>
      </c>
      <c r="X78" s="2919"/>
      <c r="Y78" s="2919"/>
      <c r="Z78" s="2919"/>
      <c r="AA78" s="2919"/>
      <c r="AB78" s="2919"/>
      <c r="AC78" s="2919"/>
      <c r="AD78" s="2919"/>
    </row>
    <row r="79" spans="1:43" ht="15.75" thickBot="1" x14ac:dyDescent="0.3">
      <c r="B79" s="202"/>
      <c r="C79" s="202"/>
      <c r="D79" s="202"/>
      <c r="E79" s="202"/>
      <c r="F79" s="202"/>
      <c r="G79" s="202"/>
      <c r="H79" s="202"/>
      <c r="I79" s="202"/>
      <c r="J79" s="205"/>
    </row>
    <row r="80" spans="1:43" ht="15" customHeight="1" x14ac:dyDescent="0.25">
      <c r="A80" s="182">
        <v>8</v>
      </c>
      <c r="B80" s="241" t="s">
        <v>5</v>
      </c>
      <c r="C80" s="3274" t="s">
        <v>450</v>
      </c>
      <c r="D80" s="3275"/>
      <c r="E80" s="3276"/>
      <c r="F80" s="184"/>
      <c r="G80" s="230"/>
      <c r="H80" s="3282" t="s">
        <v>88</v>
      </c>
      <c r="I80" s="3283"/>
      <c r="J80" s="205"/>
      <c r="N80" s="182">
        <v>8</v>
      </c>
      <c r="O80" s="241" t="s">
        <v>5</v>
      </c>
      <c r="P80" s="3186" t="s">
        <v>813</v>
      </c>
      <c r="Q80" s="3186"/>
      <c r="R80" s="3186"/>
      <c r="S80" s="2151"/>
      <c r="T80" s="230"/>
      <c r="U80" s="3272" t="s">
        <v>88</v>
      </c>
      <c r="V80" s="3273"/>
      <c r="X80" s="3300" t="s">
        <v>506</v>
      </c>
      <c r="Y80" s="3300"/>
      <c r="Z80" s="3300"/>
      <c r="AA80" s="2901"/>
      <c r="AB80" s="2902"/>
      <c r="AC80" s="3295" t="s">
        <v>88</v>
      </c>
      <c r="AD80" s="3296"/>
    </row>
    <row r="81" spans="1:50" ht="60" x14ac:dyDescent="0.25">
      <c r="A81" s="185"/>
      <c r="B81" s="187" t="s">
        <v>89</v>
      </c>
      <c r="C81" s="194" t="s">
        <v>54</v>
      </c>
      <c r="D81" s="251" t="s">
        <v>91</v>
      </c>
      <c r="E81" s="251" t="s">
        <v>92</v>
      </c>
      <c r="F81" s="251"/>
      <c r="G81" s="5"/>
      <c r="H81" s="187" t="s">
        <v>166</v>
      </c>
      <c r="I81" s="188" t="s">
        <v>92</v>
      </c>
      <c r="J81" s="205"/>
      <c r="N81" s="185"/>
      <c r="O81" s="452" t="s">
        <v>89</v>
      </c>
      <c r="P81" s="466" t="s">
        <v>54</v>
      </c>
      <c r="Q81" s="467" t="s">
        <v>91</v>
      </c>
      <c r="R81" s="453" t="s">
        <v>502</v>
      </c>
      <c r="S81" s="492"/>
      <c r="T81" s="454"/>
      <c r="U81" s="493" t="s">
        <v>54</v>
      </c>
      <c r="V81" s="455" t="s">
        <v>502</v>
      </c>
      <c r="X81" s="2903" t="s">
        <v>90</v>
      </c>
      <c r="Y81" s="2903" t="s">
        <v>91</v>
      </c>
      <c r="Z81" s="2903" t="s">
        <v>507</v>
      </c>
      <c r="AA81" s="2903"/>
      <c r="AB81" s="2904"/>
      <c r="AC81" s="2905" t="s">
        <v>54</v>
      </c>
      <c r="AD81" s="2906" t="s">
        <v>507</v>
      </c>
    </row>
    <row r="82" spans="1:50" x14ac:dyDescent="0.25">
      <c r="A82" s="67"/>
      <c r="B82" s="68" t="s">
        <v>29</v>
      </c>
      <c r="C82" s="68">
        <v>1</v>
      </c>
      <c r="D82" s="68"/>
      <c r="E82" s="68"/>
      <c r="F82" s="68"/>
      <c r="G82" s="68"/>
      <c r="H82" s="68"/>
      <c r="I82" s="217"/>
      <c r="N82" s="494"/>
      <c r="O82" s="495" t="s">
        <v>29</v>
      </c>
      <c r="P82" s="495">
        <v>1</v>
      </c>
      <c r="Q82" s="496"/>
      <c r="R82" s="496"/>
      <c r="S82" s="496"/>
      <c r="T82" s="496"/>
      <c r="U82" s="496"/>
      <c r="V82" s="497"/>
      <c r="X82" s="2899">
        <f t="shared" ref="X82:AA89" si="17">P82-C82</f>
        <v>0</v>
      </c>
      <c r="Y82" s="2899">
        <f t="shared" si="17"/>
        <v>0</v>
      </c>
      <c r="Z82" s="2899">
        <f t="shared" si="17"/>
        <v>0</v>
      </c>
      <c r="AA82" s="2899">
        <f t="shared" si="17"/>
        <v>0</v>
      </c>
      <c r="AB82" s="2907"/>
      <c r="AC82" s="2899">
        <f t="shared" ref="AC82:AD89" si="18">U82-H82</f>
        <v>0</v>
      </c>
      <c r="AD82" s="2899">
        <f t="shared" si="18"/>
        <v>0</v>
      </c>
    </row>
    <row r="83" spans="1:50" x14ac:dyDescent="0.25">
      <c r="A83" s="67"/>
      <c r="B83" s="68" t="s">
        <v>95</v>
      </c>
      <c r="C83" s="68">
        <v>100</v>
      </c>
      <c r="D83" s="68"/>
      <c r="E83" s="68"/>
      <c r="F83" s="68"/>
      <c r="G83" s="68"/>
      <c r="H83" s="68"/>
      <c r="I83" s="217"/>
      <c r="N83" s="494"/>
      <c r="O83" s="495" t="s">
        <v>95</v>
      </c>
      <c r="P83" s="495">
        <v>70</v>
      </c>
      <c r="Q83" s="496"/>
      <c r="R83" s="496"/>
      <c r="S83" s="496"/>
      <c r="T83" s="496"/>
      <c r="U83" s="496"/>
      <c r="V83" s="497"/>
      <c r="X83" s="2899">
        <f t="shared" si="17"/>
        <v>-30</v>
      </c>
      <c r="Y83" s="2899">
        <f t="shared" si="17"/>
        <v>0</v>
      </c>
      <c r="Z83" s="2899">
        <f t="shared" si="17"/>
        <v>0</v>
      </c>
      <c r="AA83" s="2899">
        <f t="shared" si="17"/>
        <v>0</v>
      </c>
      <c r="AB83" s="2907"/>
      <c r="AC83" s="2899">
        <f t="shared" si="18"/>
        <v>0</v>
      </c>
      <c r="AD83" s="2899">
        <f t="shared" si="18"/>
        <v>0</v>
      </c>
      <c r="AL83" s="91"/>
    </row>
    <row r="84" spans="1:50" x14ac:dyDescent="0.25">
      <c r="A84" s="185"/>
      <c r="B84" s="390" t="s">
        <v>451</v>
      </c>
      <c r="C84" s="190">
        <v>7</v>
      </c>
      <c r="D84" s="190"/>
      <c r="E84" s="190"/>
      <c r="F84" s="400"/>
      <c r="G84" s="400"/>
      <c r="H84" s="400"/>
      <c r="I84" s="397"/>
      <c r="J84" s="205"/>
      <c r="N84" s="185"/>
      <c r="O84" s="390" t="s">
        <v>451</v>
      </c>
      <c r="P84" s="495">
        <v>5</v>
      </c>
      <c r="Q84" s="190"/>
      <c r="R84" s="190"/>
      <c r="S84" s="400"/>
      <c r="T84" s="400"/>
      <c r="U84" s="400"/>
      <c r="V84" s="397"/>
      <c r="X84" s="2899">
        <f t="shared" si="17"/>
        <v>-2</v>
      </c>
      <c r="Y84" s="2899">
        <f t="shared" si="17"/>
        <v>0</v>
      </c>
      <c r="Z84" s="2899">
        <f t="shared" si="17"/>
        <v>0</v>
      </c>
      <c r="AA84" s="2899">
        <f t="shared" si="17"/>
        <v>0</v>
      </c>
      <c r="AB84" s="2907"/>
      <c r="AC84" s="2899">
        <f t="shared" si="18"/>
        <v>0</v>
      </c>
      <c r="AD84" s="2899">
        <f t="shared" si="18"/>
        <v>0</v>
      </c>
      <c r="AX84" s="91"/>
    </row>
    <row r="85" spans="1:50" ht="14.25" x14ac:dyDescent="0.2">
      <c r="A85" s="185"/>
      <c r="B85" s="290" t="s">
        <v>452</v>
      </c>
      <c r="C85" s="231">
        <f>(+C84+C83)*C82</f>
        <v>107</v>
      </c>
      <c r="D85" s="193">
        <v>1330</v>
      </c>
      <c r="E85" s="231">
        <f>D85*C85</f>
        <v>142310</v>
      </c>
      <c r="F85" s="400"/>
      <c r="G85" s="400"/>
      <c r="H85" s="400"/>
      <c r="I85" s="397"/>
      <c r="J85" s="205"/>
      <c r="N85" s="185"/>
      <c r="O85" s="290" t="s">
        <v>473</v>
      </c>
      <c r="P85" s="459">
        <f>(+P84+P83)*P82+P84</f>
        <v>80</v>
      </c>
      <c r="Q85" s="460">
        <f>350*$J$1</f>
        <v>1330</v>
      </c>
      <c r="R85" s="498">
        <f>Q85*P85</f>
        <v>106400</v>
      </c>
      <c r="S85" s="400"/>
      <c r="T85" s="400"/>
      <c r="U85" s="400"/>
      <c r="V85" s="1638"/>
      <c r="X85" s="2899">
        <f t="shared" si="17"/>
        <v>-27</v>
      </c>
      <c r="Y85" s="2899">
        <f t="shared" si="17"/>
        <v>0</v>
      </c>
      <c r="Z85" s="2899">
        <f t="shared" si="17"/>
        <v>-35910</v>
      </c>
      <c r="AA85" s="2899">
        <f t="shared" si="17"/>
        <v>0</v>
      </c>
      <c r="AB85" s="2907"/>
      <c r="AC85" s="2899">
        <f t="shared" si="18"/>
        <v>0</v>
      </c>
      <c r="AD85" s="2899">
        <f t="shared" si="18"/>
        <v>0</v>
      </c>
    </row>
    <row r="86" spans="1:50" ht="28.5" x14ac:dyDescent="0.2">
      <c r="A86" s="185"/>
      <c r="B86" s="226" t="s">
        <v>420</v>
      </c>
      <c r="C86" s="193">
        <v>1</v>
      </c>
      <c r="D86" s="193">
        <v>22800</v>
      </c>
      <c r="E86" s="231">
        <f>D86*C86</f>
        <v>22800</v>
      </c>
      <c r="F86" s="400"/>
      <c r="G86" s="400"/>
      <c r="H86" s="400"/>
      <c r="I86" s="397"/>
      <c r="J86" s="205"/>
      <c r="N86" s="185"/>
      <c r="O86" s="226" t="s">
        <v>504</v>
      </c>
      <c r="P86" s="460">
        <f>P82</f>
        <v>1</v>
      </c>
      <c r="Q86" s="459">
        <f>+E86</f>
        <v>22800</v>
      </c>
      <c r="R86" s="498">
        <f>Q86*P86</f>
        <v>22800</v>
      </c>
      <c r="S86" s="400"/>
      <c r="T86" s="400"/>
      <c r="U86" s="400"/>
      <c r="V86" s="397"/>
      <c r="X86" s="2899">
        <f t="shared" si="17"/>
        <v>0</v>
      </c>
      <c r="Y86" s="2899">
        <f t="shared" si="17"/>
        <v>0</v>
      </c>
      <c r="Z86" s="2899">
        <f t="shared" si="17"/>
        <v>0</v>
      </c>
      <c r="AA86" s="2899">
        <f t="shared" si="17"/>
        <v>0</v>
      </c>
      <c r="AB86" s="2907"/>
      <c r="AC86" s="2899">
        <f t="shared" si="18"/>
        <v>0</v>
      </c>
      <c r="AD86" s="2899">
        <f t="shared" si="18"/>
        <v>0</v>
      </c>
    </row>
    <row r="87" spans="1:50" x14ac:dyDescent="0.2">
      <c r="A87" s="185"/>
      <c r="B87" s="223" t="s">
        <v>453</v>
      </c>
      <c r="C87" s="231"/>
      <c r="D87" s="193"/>
      <c r="E87" s="231"/>
      <c r="F87" s="400"/>
      <c r="G87" s="400"/>
      <c r="H87" s="400"/>
      <c r="I87" s="397"/>
      <c r="J87" s="205"/>
      <c r="N87" s="185"/>
      <c r="O87" s="223" t="s">
        <v>453</v>
      </c>
      <c r="P87" s="459"/>
      <c r="Q87" s="460"/>
      <c r="R87" s="498">
        <f>Q87*P87</f>
        <v>0</v>
      </c>
      <c r="S87" s="400"/>
      <c r="T87" s="400"/>
      <c r="U87" s="400"/>
      <c r="V87" s="397"/>
      <c r="X87" s="2899">
        <f t="shared" si="17"/>
        <v>0</v>
      </c>
      <c r="Y87" s="2899">
        <f t="shared" si="17"/>
        <v>0</v>
      </c>
      <c r="Z87" s="2899">
        <f t="shared" si="17"/>
        <v>0</v>
      </c>
      <c r="AA87" s="2899">
        <f t="shared" si="17"/>
        <v>0</v>
      </c>
      <c r="AB87" s="2907"/>
      <c r="AC87" s="2899">
        <f t="shared" si="18"/>
        <v>0</v>
      </c>
      <c r="AD87" s="2899">
        <f t="shared" si="18"/>
        <v>0</v>
      </c>
    </row>
    <row r="88" spans="1:50" ht="14.25" x14ac:dyDescent="0.2">
      <c r="A88" s="185"/>
      <c r="B88" s="290" t="s">
        <v>121</v>
      </c>
      <c r="C88" s="193">
        <f>8*C82</f>
        <v>8</v>
      </c>
      <c r="D88" s="193">
        <v>8360</v>
      </c>
      <c r="E88" s="418">
        <f>D88*C88</f>
        <v>66880</v>
      </c>
      <c r="F88" s="400"/>
      <c r="G88" s="400"/>
      <c r="H88" s="400"/>
      <c r="I88" s="397"/>
      <c r="J88" s="205"/>
      <c r="N88" s="185"/>
      <c r="O88" s="290" t="s">
        <v>532</v>
      </c>
      <c r="P88" s="460">
        <f>+P84</f>
        <v>5</v>
      </c>
      <c r="Q88" s="460">
        <f>1900*$J$1</f>
        <v>7220</v>
      </c>
      <c r="R88" s="498">
        <f>Q88*P88</f>
        <v>36100</v>
      </c>
      <c r="S88" s="400"/>
      <c r="T88" s="400"/>
      <c r="U88" s="400"/>
      <c r="V88" s="397"/>
      <c r="X88" s="2899">
        <f t="shared" si="17"/>
        <v>-3</v>
      </c>
      <c r="Y88" s="2899">
        <f t="shared" si="17"/>
        <v>-1140</v>
      </c>
      <c r="Z88" s="2899">
        <f t="shared" si="17"/>
        <v>-30780</v>
      </c>
      <c r="AA88" s="2899">
        <f t="shared" si="17"/>
        <v>0</v>
      </c>
      <c r="AB88" s="2907"/>
      <c r="AC88" s="2899">
        <f t="shared" si="18"/>
        <v>0</v>
      </c>
      <c r="AD88" s="2899">
        <f t="shared" si="18"/>
        <v>0</v>
      </c>
    </row>
    <row r="89" spans="1:50" ht="28.5" x14ac:dyDescent="0.2">
      <c r="A89" s="185"/>
      <c r="B89" s="391" t="s">
        <v>454</v>
      </c>
      <c r="C89" s="231">
        <f>5*C88*C82</f>
        <v>40</v>
      </c>
      <c r="D89" s="193">
        <f>(60+180+20)*J1</f>
        <v>988</v>
      </c>
      <c r="E89" s="418">
        <f>D89*C89</f>
        <v>39520</v>
      </c>
      <c r="F89" s="400"/>
      <c r="G89" s="400"/>
      <c r="H89" s="400"/>
      <c r="I89" s="397"/>
      <c r="J89" s="205"/>
      <c r="N89" s="185"/>
      <c r="O89" s="391" t="s">
        <v>778</v>
      </c>
      <c r="P89" s="459">
        <f>P88</f>
        <v>5</v>
      </c>
      <c r="Q89" s="460">
        <f>(60*5+150*3+20*2)*$J$1</f>
        <v>3002</v>
      </c>
      <c r="R89" s="498">
        <f>Q89*P89</f>
        <v>15010</v>
      </c>
      <c r="S89" s="400"/>
      <c r="T89" s="400"/>
      <c r="U89" s="400"/>
      <c r="V89" s="397"/>
      <c r="X89" s="2899">
        <f t="shared" si="17"/>
        <v>-35</v>
      </c>
      <c r="Y89" s="2899">
        <f t="shared" si="17"/>
        <v>2014</v>
      </c>
      <c r="Z89" s="2899">
        <f t="shared" si="17"/>
        <v>-24510</v>
      </c>
      <c r="AA89" s="2899">
        <f t="shared" si="17"/>
        <v>0</v>
      </c>
      <c r="AB89" s="2907"/>
      <c r="AC89" s="2899">
        <f t="shared" si="18"/>
        <v>0</v>
      </c>
      <c r="AD89" s="2899">
        <f t="shared" si="18"/>
        <v>0</v>
      </c>
    </row>
    <row r="90" spans="1:50" x14ac:dyDescent="0.25">
      <c r="A90" s="185"/>
      <c r="B90" s="419"/>
      <c r="C90" s="420"/>
      <c r="D90" s="420"/>
      <c r="E90" s="278">
        <f>SUM(E85:E89)</f>
        <v>271510</v>
      </c>
      <c r="F90" s="278"/>
      <c r="G90" s="5"/>
      <c r="H90" s="278"/>
      <c r="I90" s="279"/>
      <c r="N90" s="185"/>
      <c r="O90" s="419"/>
      <c r="P90" s="472"/>
      <c r="Q90" s="472"/>
      <c r="R90" s="278">
        <f>SUM(R85:R89)</f>
        <v>180310</v>
      </c>
      <c r="S90" s="278"/>
      <c r="T90" s="456"/>
      <c r="U90" s="278"/>
      <c r="V90" s="279"/>
      <c r="X90" s="2908"/>
      <c r="Y90" s="2908"/>
      <c r="Z90" s="2909">
        <f>SUM(Z82:Z89)</f>
        <v>-91200</v>
      </c>
      <c r="AA90" s="2909">
        <f>SUM(AA82:AA89)</f>
        <v>0</v>
      </c>
      <c r="AB90" s="2908"/>
      <c r="AC90" s="2910"/>
      <c r="AD90" s="2909">
        <f>SUM(AD82:AD89)</f>
        <v>0</v>
      </c>
    </row>
    <row r="91" spans="1:50" ht="15" customHeight="1" thickBot="1" x14ac:dyDescent="0.3">
      <c r="A91" s="69"/>
      <c r="B91" s="280" t="s">
        <v>455</v>
      </c>
      <c r="C91" s="70"/>
      <c r="D91" s="70"/>
      <c r="E91" s="70"/>
      <c r="F91" s="70"/>
      <c r="G91" s="70"/>
      <c r="H91" s="70"/>
      <c r="I91" s="209"/>
      <c r="N91" s="464"/>
      <c r="O91" s="3318" t="s">
        <v>533</v>
      </c>
      <c r="P91" s="3319"/>
      <c r="Q91" s="3319"/>
      <c r="R91" s="3319"/>
      <c r="S91" s="3319"/>
      <c r="T91" s="3319"/>
      <c r="U91" s="3320"/>
      <c r="V91" s="475"/>
    </row>
    <row r="92" spans="1:50" ht="15.75" thickBot="1" x14ac:dyDescent="0.3">
      <c r="A92" s="9"/>
      <c r="B92"/>
      <c r="R92" s="91">
        <f>R90-'[7]פורמט משרד מקוצר'!$Q$144</f>
        <v>0</v>
      </c>
    </row>
    <row r="93" spans="1:50" ht="15" customHeight="1" x14ac:dyDescent="0.25">
      <c r="A93" s="182">
        <v>9</v>
      </c>
      <c r="B93" s="241" t="s">
        <v>456</v>
      </c>
      <c r="C93" s="3274" t="s">
        <v>457</v>
      </c>
      <c r="D93" s="3275"/>
      <c r="E93" s="3276"/>
      <c r="F93" s="184"/>
      <c r="G93" s="518"/>
      <c r="H93" s="3282" t="s">
        <v>88</v>
      </c>
      <c r="I93" s="3283"/>
      <c r="J93" s="204"/>
      <c r="N93" s="182">
        <v>9</v>
      </c>
      <c r="O93" s="241" t="s">
        <v>64</v>
      </c>
      <c r="P93" s="3186" t="s">
        <v>813</v>
      </c>
      <c r="Q93" s="3186"/>
      <c r="R93" s="3186"/>
      <c r="S93" s="2151"/>
      <c r="T93" s="230"/>
      <c r="U93" s="3282" t="s">
        <v>88</v>
      </c>
      <c r="V93" s="3283"/>
      <c r="X93" s="3300" t="s">
        <v>506</v>
      </c>
      <c r="Y93" s="3300"/>
      <c r="Z93" s="3300"/>
      <c r="AA93" s="2901"/>
      <c r="AB93" s="2902"/>
      <c r="AC93" s="3295" t="s">
        <v>88</v>
      </c>
      <c r="AD93" s="3296"/>
    </row>
    <row r="94" spans="1:50" ht="75" x14ac:dyDescent="0.25">
      <c r="A94" s="561"/>
      <c r="B94" s="186" t="s">
        <v>89</v>
      </c>
      <c r="C94" s="251" t="s">
        <v>54</v>
      </c>
      <c r="D94" s="251" t="s">
        <v>91</v>
      </c>
      <c r="E94" s="251" t="s">
        <v>92</v>
      </c>
      <c r="F94" s="186" t="s">
        <v>106</v>
      </c>
      <c r="G94" s="519"/>
      <c r="H94" s="186" t="s">
        <v>166</v>
      </c>
      <c r="I94" s="188" t="s">
        <v>92</v>
      </c>
      <c r="J94" s="204"/>
      <c r="N94" s="185"/>
      <c r="O94" s="452" t="s">
        <v>89</v>
      </c>
      <c r="P94" s="466" t="s">
        <v>54</v>
      </c>
      <c r="Q94" s="467" t="s">
        <v>508</v>
      </c>
      <c r="R94" s="453" t="s">
        <v>530</v>
      </c>
      <c r="S94" s="453" t="s">
        <v>106</v>
      </c>
      <c r="T94" s="454"/>
      <c r="U94" s="452" t="s">
        <v>54</v>
      </c>
      <c r="V94" s="455" t="s">
        <v>502</v>
      </c>
      <c r="X94" s="2903" t="s">
        <v>90</v>
      </c>
      <c r="Y94" s="2903" t="s">
        <v>91</v>
      </c>
      <c r="Z94" s="2903" t="s">
        <v>507</v>
      </c>
      <c r="AA94" s="2903"/>
      <c r="AB94" s="2904"/>
      <c r="AC94" s="2905" t="s">
        <v>54</v>
      </c>
      <c r="AD94" s="2906" t="s">
        <v>507</v>
      </c>
    </row>
    <row r="95" spans="1:50" x14ac:dyDescent="0.25">
      <c r="A95" s="185"/>
      <c r="B95" s="468" t="s">
        <v>509</v>
      </c>
      <c r="C95" s="263">
        <v>1</v>
      </c>
      <c r="D95" s="522"/>
      <c r="E95" s="262"/>
      <c r="F95" s="262"/>
      <c r="G95" s="519"/>
      <c r="H95" s="263">
        <v>2</v>
      </c>
      <c r="I95" s="264"/>
      <c r="N95" s="185"/>
      <c r="O95" s="468" t="s">
        <v>509</v>
      </c>
      <c r="P95" s="473">
        <v>1</v>
      </c>
      <c r="Q95" s="332"/>
      <c r="R95" s="469"/>
      <c r="S95" s="469"/>
      <c r="T95" s="456"/>
      <c r="U95" s="468">
        <v>2</v>
      </c>
      <c r="V95" s="471"/>
      <c r="X95" s="2899">
        <f>P95-C95</f>
        <v>0</v>
      </c>
      <c r="Y95" s="2899">
        <f>Q95-D95</f>
        <v>0</v>
      </c>
      <c r="Z95" s="2899">
        <f>R95-E95</f>
        <v>0</v>
      </c>
      <c r="AA95" s="2899">
        <f>S95-F95</f>
        <v>0</v>
      </c>
      <c r="AB95" s="2907"/>
      <c r="AC95" s="2899">
        <f t="shared" ref="AC95:AD97" si="19">U95-H95</f>
        <v>0</v>
      </c>
      <c r="AD95" s="2899">
        <f t="shared" si="19"/>
        <v>0</v>
      </c>
    </row>
    <row r="96" spans="1:50" x14ac:dyDescent="0.25">
      <c r="A96" s="185">
        <v>28</v>
      </c>
      <c r="B96" s="226" t="s">
        <v>458</v>
      </c>
      <c r="C96" s="232">
        <v>0.5</v>
      </c>
      <c r="D96" s="422">
        <f>40000*$J$1</f>
        <v>152000</v>
      </c>
      <c r="E96" s="257">
        <f>+D96*C96*0.85</f>
        <v>64600</v>
      </c>
      <c r="F96" s="257">
        <f>D96*C96*0.15</f>
        <v>11400</v>
      </c>
      <c r="G96" s="519"/>
      <c r="H96" s="232">
        <v>2</v>
      </c>
      <c r="I96" s="233">
        <f>+H96*D96</f>
        <v>304000</v>
      </c>
      <c r="J96" s="482">
        <f>D96/12</f>
        <v>12666.666666666666</v>
      </c>
      <c r="N96" s="185"/>
      <c r="O96" s="226" t="s">
        <v>883</v>
      </c>
      <c r="P96" s="232">
        <f>+P95*15</f>
        <v>15</v>
      </c>
      <c r="Q96" s="422">
        <f>32000*$J$1/12</f>
        <v>10133.333333333334</v>
      </c>
      <c r="R96" s="257">
        <f>+Q96*P96*0.85</f>
        <v>129200</v>
      </c>
      <c r="S96" s="257">
        <f>+Q96*P96*0.15</f>
        <v>22800</v>
      </c>
      <c r="T96" s="456"/>
      <c r="U96" s="232">
        <f>15*U95</f>
        <v>30</v>
      </c>
      <c r="V96" s="521">
        <f>+Q96*U96</f>
        <v>304000</v>
      </c>
      <c r="X96" s="2899">
        <f>P96-C96</f>
        <v>14.5</v>
      </c>
      <c r="Y96" s="2899">
        <f>Q96-D96/12</f>
        <v>-2533.3333333333321</v>
      </c>
      <c r="Z96" s="2899">
        <f>R96-E96</f>
        <v>64600</v>
      </c>
      <c r="AA96" s="2899">
        <f>S96-F96</f>
        <v>11400</v>
      </c>
      <c r="AB96" s="2907"/>
      <c r="AC96" s="2899">
        <f t="shared" si="19"/>
        <v>28</v>
      </c>
      <c r="AD96" s="2899">
        <f t="shared" si="19"/>
        <v>0</v>
      </c>
    </row>
    <row r="97" spans="1:30" x14ac:dyDescent="0.25">
      <c r="A97" s="185">
        <v>29</v>
      </c>
      <c r="B97" s="290" t="s">
        <v>442</v>
      </c>
      <c r="C97" s="232">
        <v>0.5</v>
      </c>
      <c r="D97" s="422">
        <v>22800</v>
      </c>
      <c r="E97" s="257">
        <f>+D97*C97*0.85</f>
        <v>9690</v>
      </c>
      <c r="F97" s="257">
        <f>D97*C97*0.15</f>
        <v>1710</v>
      </c>
      <c r="G97" s="519"/>
      <c r="H97" s="232">
        <v>2</v>
      </c>
      <c r="I97" s="233">
        <f>+H97*D97</f>
        <v>45600</v>
      </c>
      <c r="J97" s="482">
        <f>D97/12</f>
        <v>1900</v>
      </c>
      <c r="N97" s="185"/>
      <c r="O97" s="226" t="s">
        <v>442</v>
      </c>
      <c r="P97" s="232">
        <f>+P95*15</f>
        <v>15</v>
      </c>
      <c r="Q97" s="516">
        <v>1900</v>
      </c>
      <c r="R97" s="257">
        <f>+Q97*P97*0.85</f>
        <v>24225</v>
      </c>
      <c r="S97" s="257">
        <f>+Q97*P97*0.15</f>
        <v>4275</v>
      </c>
      <c r="T97" s="456"/>
      <c r="U97" s="232">
        <f>15*U95</f>
        <v>30</v>
      </c>
      <c r="V97" s="521">
        <f>+Q97*U97</f>
        <v>57000</v>
      </c>
      <c r="X97" s="2899">
        <f>P97-C97</f>
        <v>14.5</v>
      </c>
      <c r="Y97" s="2899">
        <f>Q97-D97/12</f>
        <v>0</v>
      </c>
      <c r="Z97" s="2899">
        <f>R97-E97</f>
        <v>14535</v>
      </c>
      <c r="AA97" s="2899">
        <f>S97-F97</f>
        <v>2565</v>
      </c>
      <c r="AB97" s="2907"/>
      <c r="AC97" s="2899">
        <f t="shared" si="19"/>
        <v>28</v>
      </c>
      <c r="AD97" s="2899">
        <f t="shared" si="19"/>
        <v>11400</v>
      </c>
    </row>
    <row r="98" spans="1:30" ht="15.75" thickBot="1" x14ac:dyDescent="0.3">
      <c r="A98" s="200"/>
      <c r="B98" s="415" t="s">
        <v>13</v>
      </c>
      <c r="C98" s="416"/>
      <c r="D98" s="416"/>
      <c r="E98" s="243">
        <f>SUM(E96:E97)</f>
        <v>74290</v>
      </c>
      <c r="F98" s="243">
        <f>SUM(F96:F97)</f>
        <v>13110</v>
      </c>
      <c r="G98" s="520"/>
      <c r="H98" s="243"/>
      <c r="I98" s="244">
        <f>SUM(I96:I97)</f>
        <v>349600</v>
      </c>
      <c r="N98" s="185"/>
      <c r="O98" s="419"/>
      <c r="P98" s="472"/>
      <c r="Q98" s="472"/>
      <c r="R98" s="278">
        <f>SUM(R96:R97)</f>
        <v>153425</v>
      </c>
      <c r="S98" s="278">
        <f>SUM(S96:S97)</f>
        <v>27075</v>
      </c>
      <c r="T98" s="456"/>
      <c r="U98" s="278"/>
      <c r="V98" s="279">
        <f>SUM(V96:V97)</f>
        <v>361000</v>
      </c>
      <c r="X98" s="2908"/>
      <c r="Y98" s="2908"/>
      <c r="Z98" s="2909">
        <f>SUM(Z95:Z97)</f>
        <v>79135</v>
      </c>
      <c r="AA98" s="2909">
        <f>SUM(AA95:AA97)</f>
        <v>13965</v>
      </c>
      <c r="AB98" s="2908"/>
      <c r="AC98" s="2910"/>
      <c r="AD98" s="2909">
        <f>SUM(AD95:AD97)</f>
        <v>11400</v>
      </c>
    </row>
    <row r="99" spans="1:30" ht="15.75" x14ac:dyDescent="0.25">
      <c r="B99" s="374"/>
      <c r="C99" s="374"/>
      <c r="D99" s="374"/>
      <c r="E99" s="374"/>
      <c r="F99" s="374"/>
      <c r="G99" s="374"/>
      <c r="H99" s="374"/>
      <c r="I99" s="374"/>
      <c r="N99" s="464"/>
      <c r="O99" s="3311" t="s">
        <v>882</v>
      </c>
      <c r="P99" s="3311"/>
      <c r="Q99" s="3311"/>
      <c r="R99" s="3311"/>
      <c r="S99" s="3311"/>
      <c r="T99" s="3311"/>
      <c r="U99" s="3311"/>
      <c r="V99" s="475"/>
    </row>
    <row r="100" spans="1:30" ht="16.5" thickBot="1" x14ac:dyDescent="0.3">
      <c r="B100" s="374"/>
      <c r="C100" s="374"/>
      <c r="D100" s="374"/>
      <c r="E100" s="374"/>
      <c r="F100" s="374"/>
      <c r="G100" s="374"/>
      <c r="H100" s="374"/>
      <c r="I100" s="374"/>
      <c r="N100" s="200"/>
      <c r="O100" s="3324" t="s">
        <v>514</v>
      </c>
      <c r="P100" s="3324"/>
      <c r="Q100" s="3324"/>
      <c r="R100" s="3324"/>
      <c r="S100" s="3324"/>
      <c r="T100" s="3324"/>
      <c r="U100" s="3324"/>
      <c r="V100" s="450"/>
    </row>
    <row r="101" spans="1:30" ht="15.75" x14ac:dyDescent="0.25">
      <c r="B101" s="374"/>
      <c r="C101" s="374"/>
      <c r="D101" s="374"/>
      <c r="E101" s="374"/>
      <c r="F101" s="374"/>
      <c r="G101" s="374"/>
      <c r="H101" s="374"/>
      <c r="I101" s="374"/>
      <c r="R101" s="91">
        <f>-R98+[5]ארגנטינה!R103</f>
        <v>0</v>
      </c>
      <c r="S101" s="91">
        <f>-S98+[5]ארגנטינה!S103</f>
        <v>0</v>
      </c>
      <c r="T101" s="91">
        <f>-T98+[5]ארגנטינה!T103</f>
        <v>0</v>
      </c>
      <c r="U101" s="91">
        <f>-U98+[5]ארגנטינה!U103</f>
        <v>0</v>
      </c>
      <c r="V101" s="91">
        <f>-V98+[5]ארגנטינה!V103</f>
        <v>0</v>
      </c>
    </row>
    <row r="102" spans="1:30" ht="16.5" thickBot="1" x14ac:dyDescent="0.3">
      <c r="B102" s="374"/>
      <c r="C102" s="374"/>
      <c r="D102" s="374"/>
      <c r="E102" s="374"/>
      <c r="F102" s="374"/>
      <c r="G102" s="374"/>
      <c r="H102" s="374"/>
      <c r="I102" s="374"/>
    </row>
    <row r="103" spans="1:30" ht="30" x14ac:dyDescent="0.25">
      <c r="A103" s="537">
        <v>22</v>
      </c>
      <c r="B103" s="538" t="s">
        <v>588</v>
      </c>
      <c r="C103" s="3274" t="s">
        <v>501</v>
      </c>
      <c r="D103" s="3275"/>
      <c r="E103" s="3276"/>
      <c r="F103" s="1656"/>
      <c r="G103" s="230"/>
      <c r="H103" s="3282" t="s">
        <v>88</v>
      </c>
      <c r="I103" s="3283"/>
      <c r="N103" s="537">
        <v>22</v>
      </c>
      <c r="O103" s="538" t="s">
        <v>881</v>
      </c>
      <c r="P103" s="3186" t="s">
        <v>813</v>
      </c>
      <c r="Q103" s="3186"/>
      <c r="R103" s="3186"/>
      <c r="S103" s="2151"/>
      <c r="T103" s="230"/>
      <c r="U103" s="3272" t="s">
        <v>88</v>
      </c>
      <c r="V103" s="3273"/>
      <c r="X103" s="3325" t="s">
        <v>506</v>
      </c>
      <c r="Y103" s="3300"/>
      <c r="Z103" s="3300"/>
      <c r="AA103" s="2901"/>
      <c r="AB103" s="2902"/>
      <c r="AC103" s="3295" t="s">
        <v>88</v>
      </c>
      <c r="AD103" s="3296"/>
    </row>
    <row r="104" spans="1:30" ht="60" x14ac:dyDescent="0.25">
      <c r="A104" s="539"/>
      <c r="B104" s="453" t="s">
        <v>89</v>
      </c>
      <c r="C104" s="453" t="s">
        <v>54</v>
      </c>
      <c r="D104" s="453" t="s">
        <v>91</v>
      </c>
      <c r="E104" s="453" t="s">
        <v>502</v>
      </c>
      <c r="F104" s="453" t="s">
        <v>106</v>
      </c>
      <c r="G104" s="456"/>
      <c r="H104" s="187" t="s">
        <v>54</v>
      </c>
      <c r="I104" s="455" t="s">
        <v>502</v>
      </c>
      <c r="N104" s="539"/>
      <c r="O104" s="453" t="s">
        <v>89</v>
      </c>
      <c r="P104" s="453" t="s">
        <v>54</v>
      </c>
      <c r="Q104" s="453" t="s">
        <v>91</v>
      </c>
      <c r="R104" s="453" t="s">
        <v>502</v>
      </c>
      <c r="S104" s="453" t="s">
        <v>106</v>
      </c>
      <c r="T104" s="456"/>
      <c r="U104" s="187" t="s">
        <v>54</v>
      </c>
      <c r="V104" s="455" t="s">
        <v>502</v>
      </c>
      <c r="X104" s="2920" t="s">
        <v>90</v>
      </c>
      <c r="Y104" s="2903" t="s">
        <v>91</v>
      </c>
      <c r="Z104" s="2903" t="s">
        <v>507</v>
      </c>
      <c r="AA104" s="2903"/>
      <c r="AB104" s="2904"/>
      <c r="AC104" s="2905" t="s">
        <v>54</v>
      </c>
      <c r="AD104" s="2906" t="s">
        <v>507</v>
      </c>
    </row>
    <row r="105" spans="1:30" x14ac:dyDescent="0.25">
      <c r="A105" s="539"/>
      <c r="B105" s="408" t="s">
        <v>581</v>
      </c>
      <c r="C105" s="265">
        <v>0</v>
      </c>
      <c r="D105" s="516">
        <f>2200*$J$1</f>
        <v>8360</v>
      </c>
      <c r="E105" s="257">
        <f>+D105*C105</f>
        <v>0</v>
      </c>
      <c r="F105" s="257"/>
      <c r="G105" s="456"/>
      <c r="H105" s="524"/>
      <c r="I105" s="525"/>
      <c r="N105" s="539"/>
      <c r="O105" s="408" t="s">
        <v>581</v>
      </c>
      <c r="P105" s="265">
        <v>8</v>
      </c>
      <c r="Q105" s="516">
        <f>2200*$J$1</f>
        <v>8360</v>
      </c>
      <c r="R105" s="257">
        <f>+Q105*P105</f>
        <v>66880</v>
      </c>
      <c r="S105" s="257"/>
      <c r="T105" s="456"/>
      <c r="U105" s="524"/>
      <c r="V105" s="525"/>
      <c r="X105" s="2921">
        <f t="shared" ref="X105:AA107" si="20">P105-C105</f>
        <v>8</v>
      </c>
      <c r="Y105" s="2899">
        <f t="shared" si="20"/>
        <v>0</v>
      </c>
      <c r="Z105" s="2899">
        <f t="shared" si="20"/>
        <v>66880</v>
      </c>
      <c r="AA105" s="2899">
        <f t="shared" si="20"/>
        <v>0</v>
      </c>
      <c r="AB105" s="2907"/>
      <c r="AC105" s="2899">
        <f t="shared" ref="AC105:AD107" si="21">U105-H105</f>
        <v>0</v>
      </c>
      <c r="AD105" s="2922">
        <f t="shared" si="21"/>
        <v>0</v>
      </c>
    </row>
    <row r="106" spans="1:30" ht="28.5" x14ac:dyDescent="0.25">
      <c r="A106" s="539"/>
      <c r="B106" s="408" t="s">
        <v>589</v>
      </c>
      <c r="C106" s="265">
        <f>+C105*12</f>
        <v>0</v>
      </c>
      <c r="D106" s="516">
        <f>+(60+150+20)*$J$1</f>
        <v>874</v>
      </c>
      <c r="E106" s="257">
        <f>+D106*C106</f>
        <v>0</v>
      </c>
      <c r="F106" s="257"/>
      <c r="G106" s="456"/>
      <c r="H106" s="524"/>
      <c r="I106" s="525"/>
      <c r="N106" s="539"/>
      <c r="O106" s="408" t="s">
        <v>589</v>
      </c>
      <c r="P106" s="265">
        <f>+P105*12</f>
        <v>96</v>
      </c>
      <c r="Q106" s="516">
        <f>+(60+150+20)*$J$1</f>
        <v>874</v>
      </c>
      <c r="R106" s="257">
        <f>+Q106*P106</f>
        <v>83904</v>
      </c>
      <c r="S106" s="257"/>
      <c r="T106" s="456"/>
      <c r="U106" s="524"/>
      <c r="V106" s="525"/>
      <c r="X106" s="2921">
        <f t="shared" si="20"/>
        <v>96</v>
      </c>
      <c r="Y106" s="2899">
        <f t="shared" si="20"/>
        <v>0</v>
      </c>
      <c r="Z106" s="2899">
        <f t="shared" si="20"/>
        <v>83904</v>
      </c>
      <c r="AA106" s="2899">
        <f t="shared" si="20"/>
        <v>0</v>
      </c>
      <c r="AB106" s="2907"/>
      <c r="AC106" s="2899">
        <f t="shared" si="21"/>
        <v>0</v>
      </c>
      <c r="AD106" s="2922">
        <f t="shared" si="21"/>
        <v>0</v>
      </c>
    </row>
    <row r="107" spans="1:30" ht="29.25" x14ac:dyDescent="0.25">
      <c r="A107" s="539"/>
      <c r="B107" s="457" t="s">
        <v>590</v>
      </c>
      <c r="C107" s="496">
        <f>+C105</f>
        <v>0</v>
      </c>
      <c r="D107" s="496">
        <f>500*$J$1</f>
        <v>1900</v>
      </c>
      <c r="E107" s="257">
        <f>+D107*C107</f>
        <v>0</v>
      </c>
      <c r="F107" s="257"/>
      <c r="G107" s="456"/>
      <c r="H107" s="524"/>
      <c r="I107" s="525"/>
      <c r="N107" s="539"/>
      <c r="O107" s="457" t="s">
        <v>590</v>
      </c>
      <c r="P107" s="496">
        <f>+P105</f>
        <v>8</v>
      </c>
      <c r="Q107" s="496">
        <f>500*$J$1</f>
        <v>1900</v>
      </c>
      <c r="R107" s="257">
        <f>+Q107*P107</f>
        <v>15200</v>
      </c>
      <c r="S107" s="257"/>
      <c r="T107" s="456"/>
      <c r="U107" s="524"/>
      <c r="V107" s="525"/>
      <c r="X107" s="2921">
        <f t="shared" si="20"/>
        <v>8</v>
      </c>
      <c r="Y107" s="2899">
        <f t="shared" si="20"/>
        <v>0</v>
      </c>
      <c r="Z107" s="2899">
        <f t="shared" si="20"/>
        <v>15200</v>
      </c>
      <c r="AA107" s="2899">
        <f t="shared" si="20"/>
        <v>0</v>
      </c>
      <c r="AB107" s="2907"/>
      <c r="AC107" s="2899">
        <f t="shared" si="21"/>
        <v>0</v>
      </c>
      <c r="AD107" s="2922">
        <f t="shared" si="21"/>
        <v>0</v>
      </c>
    </row>
    <row r="108" spans="1:30" ht="15.75" thickBot="1" x14ac:dyDescent="0.3">
      <c r="A108" s="185"/>
      <c r="B108" s="373" t="s">
        <v>13</v>
      </c>
      <c r="C108" s="513"/>
      <c r="D108" s="513"/>
      <c r="E108" s="513">
        <f>SUM(E105:E107)</f>
        <v>0</v>
      </c>
      <c r="F108" s="513"/>
      <c r="G108" s="514"/>
      <c r="H108" s="197"/>
      <c r="I108" s="228"/>
      <c r="N108" s="185"/>
      <c r="O108" s="373" t="s">
        <v>13</v>
      </c>
      <c r="P108" s="513"/>
      <c r="Q108" s="513"/>
      <c r="R108" s="513">
        <f>SUM(R105:R107)</f>
        <v>165984</v>
      </c>
      <c r="S108" s="513"/>
      <c r="T108" s="514"/>
      <c r="U108" s="197"/>
      <c r="V108" s="228"/>
      <c r="X108" s="2923"/>
      <c r="Y108" s="2916"/>
      <c r="Z108" s="2916">
        <f>SUM(Z105:Z107)</f>
        <v>165984</v>
      </c>
      <c r="AA108" s="2916" t="e">
        <f ca="1">SUM(AA105:AA112)</f>
        <v>#REF!</v>
      </c>
      <c r="AB108" s="2916">
        <f ca="1">SUM(AB105:AB112)</f>
        <v>0</v>
      </c>
      <c r="AC108" s="2916" t="e">
        <f ca="1">SUM(AC105:AC112)</f>
        <v>#REF!</v>
      </c>
      <c r="AD108" s="2918" t="e">
        <f ca="1">SUM(AD105:AD112)</f>
        <v>#REF!</v>
      </c>
    </row>
    <row r="109" spans="1:30" ht="15.75" thickBot="1" x14ac:dyDescent="0.3">
      <c r="A109" s="200"/>
      <c r="B109" s="3292" t="s">
        <v>591</v>
      </c>
      <c r="C109" s="3293"/>
      <c r="D109" s="3293"/>
      <c r="E109" s="3293"/>
      <c r="F109" s="3293"/>
      <c r="G109" s="3293"/>
      <c r="H109" s="3294"/>
      <c r="I109" s="433"/>
      <c r="N109" s="200"/>
      <c r="O109" s="3304"/>
      <c r="P109" s="3305"/>
      <c r="Q109" s="3305"/>
      <c r="R109" s="3305"/>
      <c r="S109" s="3305"/>
      <c r="T109" s="3305"/>
      <c r="U109" s="3306"/>
      <c r="V109" s="433"/>
      <c r="X109" s="2924"/>
      <c r="Y109" s="2924"/>
      <c r="Z109" s="2924"/>
      <c r="AA109" s="2924"/>
      <c r="AB109" s="2925"/>
      <c r="AC109" s="2924"/>
      <c r="AD109" s="2924"/>
    </row>
    <row r="110" spans="1:30" thickBot="1" x14ac:dyDescent="0.25">
      <c r="A110"/>
      <c r="B110"/>
      <c r="X110" s="2926"/>
      <c r="Y110" s="2926"/>
      <c r="Z110" s="2926"/>
      <c r="AA110" s="2926"/>
      <c r="AB110" s="2926"/>
      <c r="AC110" s="2926"/>
      <c r="AD110" s="2926"/>
    </row>
    <row r="111" spans="1:30" ht="15" customHeight="1" x14ac:dyDescent="0.25">
      <c r="A111" s="182">
        <v>17</v>
      </c>
      <c r="B111" s="241" t="s">
        <v>43</v>
      </c>
      <c r="C111" s="3274" t="s">
        <v>501</v>
      </c>
      <c r="D111" s="3275"/>
      <c r="E111" s="3276"/>
      <c r="F111" s="610"/>
      <c r="G111" s="230"/>
      <c r="H111" s="3282" t="s">
        <v>88</v>
      </c>
      <c r="I111" s="3283"/>
      <c r="N111" s="182">
        <v>17</v>
      </c>
      <c r="O111" s="241" t="s">
        <v>43</v>
      </c>
      <c r="P111" s="3186" t="s">
        <v>813</v>
      </c>
      <c r="Q111" s="3186"/>
      <c r="R111" s="3186"/>
      <c r="S111" s="2151"/>
      <c r="T111" s="230"/>
      <c r="U111" s="3272" t="s">
        <v>88</v>
      </c>
      <c r="V111" s="3273"/>
      <c r="X111" s="3300" t="s">
        <v>506</v>
      </c>
      <c r="Y111" s="3300"/>
      <c r="Z111" s="3300"/>
      <c r="AA111" s="2901"/>
      <c r="AB111" s="2902"/>
      <c r="AC111" s="3295" t="s">
        <v>88</v>
      </c>
      <c r="AD111" s="3296"/>
    </row>
    <row r="112" spans="1:30" ht="67.5" customHeight="1" x14ac:dyDescent="0.25">
      <c r="A112" s="185"/>
      <c r="B112" s="186" t="s">
        <v>89</v>
      </c>
      <c r="C112" s="187" t="s">
        <v>54</v>
      </c>
      <c r="D112" s="186" t="s">
        <v>91</v>
      </c>
      <c r="E112" s="453" t="s">
        <v>502</v>
      </c>
      <c r="F112" s="186" t="s">
        <v>106</v>
      </c>
      <c r="G112" s="456"/>
      <c r="H112" s="187" t="s">
        <v>54</v>
      </c>
      <c r="I112" s="455" t="s">
        <v>502</v>
      </c>
      <c r="N112" s="185"/>
      <c r="O112" s="186" t="s">
        <v>89</v>
      </c>
      <c r="P112" s="187" t="s">
        <v>54</v>
      </c>
      <c r="Q112" s="186" t="s">
        <v>91</v>
      </c>
      <c r="R112" s="453" t="s">
        <v>502</v>
      </c>
      <c r="S112" s="186" t="s">
        <v>106</v>
      </c>
      <c r="T112" s="456"/>
      <c r="U112" s="187" t="s">
        <v>54</v>
      </c>
      <c r="V112" s="455" t="s">
        <v>502</v>
      </c>
      <c r="X112" s="2903" t="s">
        <v>90</v>
      </c>
      <c r="Y112" s="2903" t="s">
        <v>91</v>
      </c>
      <c r="Z112" s="2903" t="s">
        <v>507</v>
      </c>
      <c r="AA112" s="2903"/>
      <c r="AB112" s="2904"/>
      <c r="AC112" s="2905" t="s">
        <v>54</v>
      </c>
      <c r="AD112" s="2906" t="s">
        <v>507</v>
      </c>
    </row>
    <row r="113" spans="1:30" x14ac:dyDescent="0.25">
      <c r="A113" s="464"/>
      <c r="B113" s="457" t="s">
        <v>527</v>
      </c>
      <c r="C113" s="500"/>
      <c r="D113" s="501"/>
      <c r="E113" s="502"/>
      <c r="F113" s="503"/>
      <c r="G113" s="523"/>
      <c r="H113" s="505"/>
      <c r="I113" s="506"/>
      <c r="N113" s="464"/>
      <c r="O113" s="457" t="s">
        <v>527</v>
      </c>
      <c r="P113" s="500">
        <v>17</v>
      </c>
      <c r="Q113" s="501">
        <f>1000*$J$1</f>
        <v>3800</v>
      </c>
      <c r="R113" s="502">
        <f>Q113*P113</f>
        <v>64600</v>
      </c>
      <c r="S113" s="503"/>
      <c r="T113" s="523"/>
      <c r="U113" s="505"/>
      <c r="V113" s="506"/>
      <c r="X113" s="2899">
        <f t="shared" ref="X113:AA114" si="22">P113-C113</f>
        <v>17</v>
      </c>
      <c r="Y113" s="2899">
        <f t="shared" si="22"/>
        <v>3800</v>
      </c>
      <c r="Z113" s="2899">
        <f t="shared" si="22"/>
        <v>64600</v>
      </c>
      <c r="AA113" s="2899">
        <f t="shared" si="22"/>
        <v>0</v>
      </c>
      <c r="AB113" s="2907"/>
      <c r="AC113" s="2899">
        <f>U113-H113</f>
        <v>0</v>
      </c>
      <c r="AD113" s="2899">
        <f>V113-I113</f>
        <v>0</v>
      </c>
    </row>
    <row r="114" spans="1:30" ht="29.25" x14ac:dyDescent="0.25">
      <c r="A114" s="508"/>
      <c r="B114" s="507" t="s">
        <v>528</v>
      </c>
      <c r="C114" s="500"/>
      <c r="D114" s="509"/>
      <c r="E114" s="502"/>
      <c r="F114" s="510"/>
      <c r="G114" s="523"/>
      <c r="H114" s="524"/>
      <c r="I114" s="525"/>
      <c r="N114" s="508"/>
      <c r="O114" s="507" t="s">
        <v>528</v>
      </c>
      <c r="P114" s="500">
        <v>18</v>
      </c>
      <c r="Q114" s="509">
        <f>250*$J$1</f>
        <v>950</v>
      </c>
      <c r="R114" s="502">
        <f>Q114*P114</f>
        <v>17100</v>
      </c>
      <c r="S114" s="510"/>
      <c r="T114" s="523"/>
      <c r="U114" s="524"/>
      <c r="V114" s="525"/>
      <c r="X114" s="2899">
        <f t="shared" si="22"/>
        <v>18</v>
      </c>
      <c r="Y114" s="2899">
        <f t="shared" si="22"/>
        <v>950</v>
      </c>
      <c r="Z114" s="2899">
        <f t="shared" si="22"/>
        <v>17100</v>
      </c>
      <c r="AA114" s="2899">
        <f t="shared" si="22"/>
        <v>0</v>
      </c>
      <c r="AB114" s="2907"/>
      <c r="AC114" s="2899">
        <f>U114-H114</f>
        <v>0</v>
      </c>
      <c r="AD114" s="2899">
        <f>V114-I114</f>
        <v>0</v>
      </c>
    </row>
    <row r="115" spans="1:30" x14ac:dyDescent="0.25">
      <c r="A115" s="508"/>
      <c r="B115" s="2763"/>
      <c r="C115" s="500"/>
      <c r="D115" s="509"/>
      <c r="E115" s="2764"/>
      <c r="F115" s="510"/>
      <c r="G115" s="504"/>
      <c r="H115" s="505"/>
      <c r="I115" s="506"/>
      <c r="N115" s="508"/>
      <c r="O115" s="2763" t="s">
        <v>776</v>
      </c>
      <c r="P115" s="500">
        <v>1500</v>
      </c>
      <c r="Q115" s="509">
        <v>11.4</v>
      </c>
      <c r="R115" s="502">
        <f>Q115*P115</f>
        <v>17100</v>
      </c>
      <c r="S115" s="510"/>
      <c r="T115" s="504"/>
      <c r="U115" s="505"/>
      <c r="V115" s="506"/>
      <c r="X115" s="2899">
        <f>P115-C115</f>
        <v>1500</v>
      </c>
      <c r="Y115" s="2899">
        <f>Q115-D115</f>
        <v>11.4</v>
      </c>
      <c r="Z115" s="2899">
        <f>R115-E115</f>
        <v>17100</v>
      </c>
      <c r="AA115" s="2927"/>
      <c r="AB115" s="2928"/>
      <c r="AC115" s="2927"/>
      <c r="AD115" s="2929"/>
    </row>
    <row r="116" spans="1:30" ht="15.75" thickBot="1" x14ac:dyDescent="0.3">
      <c r="A116" s="200"/>
      <c r="B116" s="242"/>
      <c r="C116" s="243"/>
      <c r="D116" s="243"/>
      <c r="E116" s="243">
        <f>SUM(E113:E114)</f>
        <v>0</v>
      </c>
      <c r="F116" s="243"/>
      <c r="G116" s="511"/>
      <c r="H116" s="243"/>
      <c r="I116" s="244"/>
      <c r="N116" s="200"/>
      <c r="O116" s="242"/>
      <c r="P116" s="243"/>
      <c r="Q116" s="243"/>
      <c r="R116" s="243">
        <f>SUM(R113:R115)</f>
        <v>98800</v>
      </c>
      <c r="S116" s="243"/>
      <c r="T116" s="511"/>
      <c r="U116" s="243"/>
      <c r="V116" s="244"/>
      <c r="X116" s="2908"/>
      <c r="Y116" s="2908"/>
      <c r="Z116" s="2909">
        <f>SUM(Z113:Z115)</f>
        <v>98800</v>
      </c>
      <c r="AA116" s="2909" t="e">
        <f ca="1">SUM(AA113:AA116)</f>
        <v>#REF!</v>
      </c>
      <c r="AB116" s="2908"/>
      <c r="AC116" s="2910"/>
      <c r="AD116" s="2909" t="e">
        <f ca="1">SUM(AD113:AD116)</f>
        <v>#REF!</v>
      </c>
    </row>
    <row r="117" spans="1:30" ht="15.75" x14ac:dyDescent="0.25">
      <c r="B117" s="374"/>
      <c r="C117" s="374"/>
      <c r="D117" s="374"/>
      <c r="E117" s="374"/>
      <c r="F117" s="374"/>
      <c r="G117" s="374"/>
      <c r="H117" s="374"/>
      <c r="I117" s="374"/>
      <c r="R117" s="91"/>
    </row>
    <row r="118" spans="1:30" ht="15.75" x14ac:dyDescent="0.25">
      <c r="B118" s="374"/>
      <c r="C118" s="374"/>
      <c r="D118" s="374"/>
      <c r="E118" s="374"/>
      <c r="F118" s="374"/>
      <c r="G118" s="374"/>
      <c r="H118" s="374"/>
      <c r="I118" s="374"/>
    </row>
    <row r="119" spans="1:30" ht="16.5" thickBot="1" x14ac:dyDescent="0.3">
      <c r="B119" s="374"/>
      <c r="C119" s="374"/>
      <c r="D119" s="374"/>
      <c r="E119" s="374"/>
      <c r="F119" s="374"/>
      <c r="G119" s="374"/>
      <c r="H119" s="374"/>
      <c r="I119" s="374"/>
    </row>
    <row r="120" spans="1:30" ht="15" customHeight="1" x14ac:dyDescent="0.25">
      <c r="A120" s="182"/>
      <c r="B120" s="241" t="s">
        <v>872</v>
      </c>
      <c r="C120" s="1583" t="s">
        <v>601</v>
      </c>
      <c r="D120" s="1583"/>
      <c r="E120" s="1583"/>
      <c r="F120" s="1583"/>
      <c r="G120" s="518"/>
      <c r="H120" s="1584" t="s">
        <v>88</v>
      </c>
      <c r="I120" s="1585"/>
      <c r="J120" s="204"/>
      <c r="N120" s="182"/>
      <c r="O120" s="241" t="s">
        <v>872</v>
      </c>
      <c r="P120" s="3186" t="s">
        <v>812</v>
      </c>
      <c r="Q120" s="3186"/>
      <c r="R120" s="3186"/>
      <c r="S120" s="2151"/>
      <c r="T120" s="230"/>
      <c r="U120" s="1586" t="s">
        <v>88</v>
      </c>
      <c r="V120" s="1587"/>
      <c r="X120" s="2930" t="s">
        <v>506</v>
      </c>
      <c r="Y120" s="2901"/>
      <c r="Z120" s="2901"/>
      <c r="AA120" s="2901"/>
      <c r="AB120" s="2902"/>
      <c r="AC120" s="2931" t="s">
        <v>88</v>
      </c>
      <c r="AD120" s="2932"/>
    </row>
    <row r="121" spans="1:30" ht="60" x14ac:dyDescent="0.25">
      <c r="A121" s="629"/>
      <c r="B121" s="575" t="s">
        <v>89</v>
      </c>
      <c r="C121" s="580" t="s">
        <v>54</v>
      </c>
      <c r="D121" s="580" t="s">
        <v>91</v>
      </c>
      <c r="E121" s="576" t="s">
        <v>92</v>
      </c>
      <c r="F121" s="576"/>
      <c r="G121" s="456"/>
      <c r="H121" s="187" t="s">
        <v>54</v>
      </c>
      <c r="I121" s="455" t="s">
        <v>502</v>
      </c>
      <c r="N121" s="629"/>
      <c r="O121" s="575" t="s">
        <v>89</v>
      </c>
      <c r="P121" s="580" t="s">
        <v>54</v>
      </c>
      <c r="Q121" s="580" t="s">
        <v>91</v>
      </c>
      <c r="R121" s="576" t="s">
        <v>92</v>
      </c>
      <c r="S121" s="576"/>
      <c r="T121" s="456"/>
      <c r="U121" s="187" t="s">
        <v>54</v>
      </c>
      <c r="V121" s="455" t="s">
        <v>502</v>
      </c>
      <c r="X121" s="2903" t="s">
        <v>90</v>
      </c>
      <c r="Y121" s="2903" t="s">
        <v>91</v>
      </c>
      <c r="Z121" s="2903" t="s">
        <v>507</v>
      </c>
      <c r="AA121" s="2903"/>
      <c r="AB121" s="2904"/>
      <c r="AC121" s="2905" t="s">
        <v>54</v>
      </c>
      <c r="AD121" s="2906" t="s">
        <v>507</v>
      </c>
    </row>
    <row r="122" spans="1:30" s="9" customFormat="1" x14ac:dyDescent="0.25">
      <c r="A122" s="1681"/>
      <c r="B122" s="628" t="s">
        <v>610</v>
      </c>
      <c r="C122" s="1680"/>
      <c r="D122" s="1680"/>
      <c r="E122" s="578"/>
      <c r="F122" s="445"/>
      <c r="G122" s="1682"/>
      <c r="H122" s="505"/>
      <c r="I122" s="506"/>
      <c r="N122" s="1681"/>
      <c r="O122" s="628" t="s">
        <v>885</v>
      </c>
      <c r="P122" s="1680">
        <v>2</v>
      </c>
      <c r="Q122" s="1680"/>
      <c r="R122" s="578"/>
      <c r="S122" s="445"/>
      <c r="T122" s="1682"/>
      <c r="U122" s="505"/>
      <c r="V122" s="506"/>
      <c r="X122" s="595">
        <f t="shared" ref="X122:AA127" si="23">P122-C122</f>
        <v>2</v>
      </c>
      <c r="Y122" s="595">
        <f t="shared" si="23"/>
        <v>0</v>
      </c>
      <c r="Z122" s="595">
        <f t="shared" si="23"/>
        <v>0</v>
      </c>
      <c r="AA122" s="595">
        <f t="shared" si="23"/>
        <v>0</v>
      </c>
      <c r="AB122" s="2908"/>
      <c r="AC122" s="595">
        <f t="shared" ref="AC122:AD127" si="24">U122-H122</f>
        <v>0</v>
      </c>
      <c r="AD122" s="595">
        <f t="shared" si="24"/>
        <v>0</v>
      </c>
    </row>
    <row r="123" spans="1:30" ht="45" x14ac:dyDescent="0.25">
      <c r="A123" s="629"/>
      <c r="B123" s="628" t="s">
        <v>611</v>
      </c>
      <c r="C123" s="577"/>
      <c r="D123" s="577"/>
      <c r="E123" s="578"/>
      <c r="F123" s="68"/>
      <c r="G123" s="523"/>
      <c r="H123" s="505"/>
      <c r="I123" s="506"/>
      <c r="N123" s="629"/>
      <c r="O123" s="1679" t="s">
        <v>611</v>
      </c>
      <c r="P123" s="577">
        <f>P122</f>
        <v>2</v>
      </c>
      <c r="Q123" s="577">
        <v>27360</v>
      </c>
      <c r="R123" s="1558">
        <f>Q123*P123</f>
        <v>54720</v>
      </c>
      <c r="S123" s="68"/>
      <c r="T123" s="523"/>
      <c r="U123" s="505"/>
      <c r="V123" s="506"/>
      <c r="X123" s="2899">
        <f t="shared" si="23"/>
        <v>2</v>
      </c>
      <c r="Y123" s="2899">
        <f t="shared" si="23"/>
        <v>27360</v>
      </c>
      <c r="Z123" s="2899">
        <f t="shared" si="23"/>
        <v>54720</v>
      </c>
      <c r="AA123" s="2899">
        <f t="shared" si="23"/>
        <v>0</v>
      </c>
      <c r="AB123" s="2907"/>
      <c r="AC123" s="2899">
        <f t="shared" si="24"/>
        <v>0</v>
      </c>
      <c r="AD123" s="2899">
        <f t="shared" si="24"/>
        <v>0</v>
      </c>
    </row>
    <row r="124" spans="1:30" ht="114" x14ac:dyDescent="0.25">
      <c r="A124" s="629"/>
      <c r="B124" s="628" t="s">
        <v>612</v>
      </c>
      <c r="C124" s="577"/>
      <c r="D124" s="577"/>
      <c r="E124" s="578"/>
      <c r="F124" s="68"/>
      <c r="G124" s="523"/>
      <c r="H124" s="505"/>
      <c r="I124" s="506"/>
      <c r="N124" s="629"/>
      <c r="O124" s="2819" t="s">
        <v>836</v>
      </c>
      <c r="P124" s="2820">
        <f>P122</f>
        <v>2</v>
      </c>
      <c r="Q124" s="2820">
        <f>10000+1140+3*5700+5*1900+6000</f>
        <v>43740</v>
      </c>
      <c r="R124" s="2821">
        <f>Q124*P124</f>
        <v>87480</v>
      </c>
      <c r="S124" s="68"/>
      <c r="T124" s="523"/>
      <c r="U124" s="505"/>
      <c r="V124" s="506"/>
      <c r="X124" s="2899">
        <f t="shared" si="23"/>
        <v>2</v>
      </c>
      <c r="Y124" s="2899">
        <f t="shared" si="23"/>
        <v>43740</v>
      </c>
      <c r="Z124" s="2899">
        <f t="shared" si="23"/>
        <v>87480</v>
      </c>
      <c r="AA124" s="2899">
        <f t="shared" si="23"/>
        <v>0</v>
      </c>
      <c r="AB124" s="2907"/>
      <c r="AC124" s="2899">
        <f t="shared" si="24"/>
        <v>0</v>
      </c>
      <c r="AD124" s="2899">
        <f t="shared" si="24"/>
        <v>0</v>
      </c>
    </row>
    <row r="125" spans="1:30" ht="30" x14ac:dyDescent="0.25">
      <c r="A125" s="629"/>
      <c r="B125" s="628" t="s">
        <v>613</v>
      </c>
      <c r="C125" s="577"/>
      <c r="D125" s="577"/>
      <c r="E125" s="578"/>
      <c r="F125" s="68"/>
      <c r="G125" s="523"/>
      <c r="H125" s="505"/>
      <c r="I125" s="506"/>
      <c r="N125" s="629"/>
      <c r="O125" s="1679" t="s">
        <v>613</v>
      </c>
      <c r="P125" s="577">
        <f>2*P122</f>
        <v>4</v>
      </c>
      <c r="Q125" s="577">
        <f>1900*$J$1</f>
        <v>7220</v>
      </c>
      <c r="R125" s="1558">
        <f>Q125*P125</f>
        <v>28880</v>
      </c>
      <c r="S125" s="68"/>
      <c r="T125" s="523"/>
      <c r="U125" s="505"/>
      <c r="V125" s="506"/>
      <c r="X125" s="2899">
        <f t="shared" si="23"/>
        <v>4</v>
      </c>
      <c r="Y125" s="2899">
        <f t="shared" si="23"/>
        <v>7220</v>
      </c>
      <c r="Z125" s="2899">
        <f t="shared" si="23"/>
        <v>28880</v>
      </c>
      <c r="AA125" s="2899">
        <f t="shared" si="23"/>
        <v>0</v>
      </c>
      <c r="AB125" s="2907"/>
      <c r="AC125" s="2899">
        <f t="shared" si="24"/>
        <v>0</v>
      </c>
      <c r="AD125" s="2899">
        <f t="shared" si="24"/>
        <v>0</v>
      </c>
    </row>
    <row r="126" spans="1:30" ht="28.5" x14ac:dyDescent="0.25">
      <c r="A126" s="629"/>
      <c r="B126" s="628" t="s">
        <v>614</v>
      </c>
      <c r="C126" s="577"/>
      <c r="D126" s="577"/>
      <c r="E126" s="578"/>
      <c r="F126" s="68"/>
      <c r="G126" s="523"/>
      <c r="H126" s="505"/>
      <c r="I126" s="506"/>
      <c r="N126" s="629"/>
      <c r="O126" s="1679" t="s">
        <v>873</v>
      </c>
      <c r="P126" s="577">
        <f>2*P122</f>
        <v>4</v>
      </c>
      <c r="Q126" s="1558">
        <f>(60+80)*$J$1*7</f>
        <v>3724</v>
      </c>
      <c r="R126" s="1558">
        <f>Q126*P126</f>
        <v>14896</v>
      </c>
      <c r="S126" s="68"/>
      <c r="T126" s="523"/>
      <c r="U126" s="505"/>
      <c r="V126" s="506"/>
      <c r="X126" s="2899">
        <f t="shared" si="23"/>
        <v>4</v>
      </c>
      <c r="Y126" s="2899">
        <f t="shared" si="23"/>
        <v>3724</v>
      </c>
      <c r="Z126" s="2899">
        <f t="shared" si="23"/>
        <v>14896</v>
      </c>
      <c r="AA126" s="2899">
        <f t="shared" si="23"/>
        <v>0</v>
      </c>
      <c r="AB126" s="2907"/>
      <c r="AC126" s="2899">
        <f t="shared" si="24"/>
        <v>0</v>
      </c>
      <c r="AD126" s="2899">
        <f t="shared" si="24"/>
        <v>0</v>
      </c>
    </row>
    <row r="127" spans="1:30" x14ac:dyDescent="0.25">
      <c r="A127" s="629"/>
      <c r="B127" s="628"/>
      <c r="C127" s="577"/>
      <c r="D127" s="577"/>
      <c r="E127" s="578"/>
      <c r="F127" s="68"/>
      <c r="G127" s="523"/>
      <c r="H127" s="505"/>
      <c r="I127" s="506"/>
      <c r="N127" s="629"/>
      <c r="O127" s="1679" t="s">
        <v>615</v>
      </c>
      <c r="P127" s="577">
        <f>25*P122</f>
        <v>50</v>
      </c>
      <c r="Q127" s="577">
        <v>-76</v>
      </c>
      <c r="R127" s="1558">
        <f>Q127*P127</f>
        <v>-3800</v>
      </c>
      <c r="S127" s="68"/>
      <c r="T127" s="523"/>
      <c r="U127" s="505"/>
      <c r="V127" s="506"/>
      <c r="X127" s="2899">
        <f t="shared" si="23"/>
        <v>50</v>
      </c>
      <c r="Y127" s="2899">
        <f t="shared" si="23"/>
        <v>-76</v>
      </c>
      <c r="Z127" s="2899">
        <f t="shared" si="23"/>
        <v>-3800</v>
      </c>
      <c r="AA127" s="2899">
        <f t="shared" si="23"/>
        <v>0</v>
      </c>
      <c r="AB127" s="2907"/>
      <c r="AC127" s="2899">
        <f t="shared" si="24"/>
        <v>0</v>
      </c>
      <c r="AD127" s="2899">
        <f t="shared" si="24"/>
        <v>0</v>
      </c>
    </row>
    <row r="128" spans="1:30" ht="15.75" thickBot="1" x14ac:dyDescent="0.3">
      <c r="A128" s="93"/>
      <c r="B128" s="415" t="s">
        <v>13</v>
      </c>
      <c r="C128" s="416"/>
      <c r="D128" s="416"/>
      <c r="E128" s="579">
        <f>SUM(E123:E127)</f>
        <v>0</v>
      </c>
      <c r="F128" s="581"/>
      <c r="G128" s="581"/>
      <c r="H128" s="581"/>
      <c r="I128" s="581"/>
      <c r="N128" s="93"/>
      <c r="O128" s="415" t="s">
        <v>13</v>
      </c>
      <c r="P128" s="416"/>
      <c r="Q128" s="416"/>
      <c r="R128" s="579">
        <f>SUM(R123:R127)</f>
        <v>182176</v>
      </c>
      <c r="S128" s="581"/>
      <c r="T128" s="581"/>
      <c r="U128" s="581"/>
      <c r="V128" s="581"/>
      <c r="X128" s="2933"/>
      <c r="Y128" s="2933"/>
      <c r="Z128" s="2934">
        <f>SUM(Z123:Z127)</f>
        <v>182176</v>
      </c>
      <c r="AA128" s="2935"/>
      <c r="AB128" s="2935"/>
      <c r="AC128" s="2935"/>
      <c r="AD128" s="2935"/>
    </row>
    <row r="129" spans="1:30" ht="15.75" x14ac:dyDescent="0.25">
      <c r="B129" s="374"/>
      <c r="C129" s="374"/>
      <c r="D129" s="374"/>
      <c r="E129" s="374"/>
      <c r="F129" s="374"/>
      <c r="G129" s="374"/>
      <c r="H129" s="374"/>
      <c r="I129" s="374"/>
      <c r="R129" s="91"/>
    </row>
    <row r="130" spans="1:30" ht="15.75" x14ac:dyDescent="0.25">
      <c r="A130" s="374"/>
      <c r="B130" s="374"/>
      <c r="C130" s="227"/>
      <c r="D130" s="227"/>
      <c r="E130" s="423"/>
      <c r="F130" s="423"/>
      <c r="G130" s="423"/>
      <c r="H130" s="423"/>
      <c r="I130" s="423"/>
    </row>
    <row r="131" spans="1:30" ht="15.75" thickBot="1" x14ac:dyDescent="0.3"/>
    <row r="132" spans="1:30" ht="15" customHeight="1" x14ac:dyDescent="0.25">
      <c r="A132" s="182">
        <v>11</v>
      </c>
      <c r="B132" s="211" t="s">
        <v>413</v>
      </c>
      <c r="C132" s="3274" t="s">
        <v>410</v>
      </c>
      <c r="D132" s="3275"/>
      <c r="E132" s="3276"/>
      <c r="F132" s="184"/>
      <c r="G132" s="6"/>
      <c r="H132" s="3282" t="s">
        <v>88</v>
      </c>
      <c r="I132" s="3283"/>
      <c r="N132" s="182">
        <v>11</v>
      </c>
      <c r="O132" s="211" t="s">
        <v>413</v>
      </c>
      <c r="P132" s="3274" t="s">
        <v>501</v>
      </c>
      <c r="Q132" s="3275"/>
      <c r="R132" s="3276"/>
      <c r="S132" s="1504"/>
      <c r="T132" s="6"/>
      <c r="U132" s="3272" t="s">
        <v>88</v>
      </c>
      <c r="V132" s="3273"/>
      <c r="X132" s="3300" t="s">
        <v>506</v>
      </c>
      <c r="Y132" s="3300"/>
      <c r="Z132" s="3300"/>
      <c r="AA132" s="2901"/>
      <c r="AB132" s="2902"/>
      <c r="AC132" s="3295" t="s">
        <v>88</v>
      </c>
      <c r="AD132" s="3296"/>
    </row>
    <row r="133" spans="1:30" ht="60" x14ac:dyDescent="0.25">
      <c r="A133" s="573"/>
      <c r="B133" s="187" t="s">
        <v>89</v>
      </c>
      <c r="C133" s="187" t="s">
        <v>54</v>
      </c>
      <c r="D133" s="186" t="s">
        <v>91</v>
      </c>
      <c r="E133" s="186" t="s">
        <v>92</v>
      </c>
      <c r="F133" s="186"/>
      <c r="G133" s="5"/>
      <c r="H133" s="187" t="s">
        <v>54</v>
      </c>
      <c r="I133" s="188" t="s">
        <v>92</v>
      </c>
      <c r="N133" s="573"/>
      <c r="O133" s="187" t="s">
        <v>89</v>
      </c>
      <c r="P133" s="187" t="s">
        <v>54</v>
      </c>
      <c r="Q133" s="186" t="s">
        <v>91</v>
      </c>
      <c r="R133" s="186" t="s">
        <v>92</v>
      </c>
      <c r="S133" s="186"/>
      <c r="T133" s="5"/>
      <c r="U133" s="187" t="s">
        <v>54</v>
      </c>
      <c r="V133" s="188" t="s">
        <v>92</v>
      </c>
      <c r="X133" s="2903" t="s">
        <v>90</v>
      </c>
      <c r="Y133" s="2903" t="s">
        <v>91</v>
      </c>
      <c r="Z133" s="2903" t="s">
        <v>507</v>
      </c>
      <c r="AA133" s="2903"/>
      <c r="AB133" s="2904"/>
      <c r="AC133" s="2905" t="s">
        <v>54</v>
      </c>
      <c r="AD133" s="2906" t="s">
        <v>507</v>
      </c>
    </row>
    <row r="134" spans="1:30" ht="28.5" x14ac:dyDescent="0.25">
      <c r="A134" s="185"/>
      <c r="B134" s="290" t="s">
        <v>459</v>
      </c>
      <c r="C134" s="68"/>
      <c r="D134" s="68"/>
      <c r="E134" s="291"/>
      <c r="F134" s="291"/>
      <c r="G134" s="5"/>
      <c r="H134" s="68"/>
      <c r="I134" s="386">
        <v>200000</v>
      </c>
      <c r="N134" s="185"/>
      <c r="O134" s="290" t="s">
        <v>459</v>
      </c>
      <c r="P134" s="68"/>
      <c r="Q134" s="68"/>
      <c r="R134" s="291"/>
      <c r="S134" s="291"/>
      <c r="T134" s="5"/>
      <c r="U134" s="68"/>
      <c r="V134" s="386">
        <v>200000</v>
      </c>
      <c r="X134" s="2899">
        <f>P134-C134</f>
        <v>0</v>
      </c>
      <c r="Y134" s="2899">
        <f>Q134-D134</f>
        <v>0</v>
      </c>
      <c r="Z134" s="2899">
        <f>R134-E134</f>
        <v>0</v>
      </c>
      <c r="AA134" s="2899">
        <f>S134-F134</f>
        <v>0</v>
      </c>
      <c r="AB134" s="2907"/>
      <c r="AC134" s="2899">
        <f>U134-H134</f>
        <v>0</v>
      </c>
      <c r="AD134" s="2899">
        <f>V134-I134</f>
        <v>0</v>
      </c>
    </row>
    <row r="135" spans="1:30" ht="15.75" thickBot="1" x14ac:dyDescent="0.3">
      <c r="A135" s="574"/>
      <c r="B135" s="384" t="s">
        <v>13</v>
      </c>
      <c r="C135" s="234"/>
      <c r="D135" s="234"/>
      <c r="E135" s="235">
        <f>SUM(E134)</f>
        <v>0</v>
      </c>
      <c r="F135" s="235"/>
      <c r="G135" s="236"/>
      <c r="H135" s="237"/>
      <c r="I135" s="238">
        <f>SUM(I134)</f>
        <v>200000</v>
      </c>
      <c r="N135" s="574"/>
      <c r="O135" s="384" t="s">
        <v>13</v>
      </c>
      <c r="P135" s="234"/>
      <c r="Q135" s="234"/>
      <c r="R135" s="235">
        <f>SUM(R134)</f>
        <v>0</v>
      </c>
      <c r="S135" s="235"/>
      <c r="T135" s="236"/>
      <c r="U135" s="237"/>
      <c r="V135" s="238">
        <f>SUM(V134)</f>
        <v>200000</v>
      </c>
      <c r="X135" s="2915"/>
      <c r="Y135" s="2915"/>
      <c r="Z135" s="2916">
        <f>SUM(Z134)</f>
        <v>0</v>
      </c>
      <c r="AA135" s="2916"/>
      <c r="AB135" s="2916"/>
      <c r="AC135" s="2936"/>
      <c r="AD135" s="2918">
        <f>SUM(AD134)</f>
        <v>0</v>
      </c>
    </row>
    <row r="136" spans="1:30" ht="15.75" thickBot="1" x14ac:dyDescent="0.3"/>
    <row r="137" spans="1:30" ht="15.75" thickBot="1" x14ac:dyDescent="0.3">
      <c r="A137" s="621"/>
      <c r="B137" s="622" t="s">
        <v>13</v>
      </c>
      <c r="C137" s="623"/>
      <c r="D137" s="624"/>
      <c r="E137" s="624">
        <f>E135+E128+E116+E108+E98+E90+E77+E66+E56+E48+E39+E31+E9</f>
        <v>1867459.2</v>
      </c>
      <c r="F137" s="624">
        <f>F135+F128+F116+F108+F98+F90+F77+F66+F56+F48+F39+F31+F9</f>
        <v>88714.8</v>
      </c>
      <c r="G137" s="624">
        <f>G135+G128+G116+G108+G98+G90+G77+G66+G56+G48+G39+G31+G9</f>
        <v>0</v>
      </c>
      <c r="H137" s="624">
        <f>H135+H128+H116+H108+H98+H90+H77+H66+H56+H48+H39+H31+H9</f>
        <v>0</v>
      </c>
      <c r="I137" s="624">
        <f>I135+I128+I116+I108+I98+I90+I77+I66+I56+I48+I39+I31+I9</f>
        <v>895974.6</v>
      </c>
      <c r="N137" s="621"/>
      <c r="O137" s="622" t="s">
        <v>13</v>
      </c>
      <c r="P137" s="623"/>
      <c r="Q137" s="624"/>
      <c r="R137" s="624">
        <f>R135+R128+R116+R108+R98+R90+R77+R66+R56+R48+R39+R31+R9</f>
        <v>3011773.66</v>
      </c>
      <c r="S137" s="624">
        <f>S135+S128+S116+S108+S98+S90+S77+S66+S56+S48+S39+S31+S9</f>
        <v>117163.5</v>
      </c>
      <c r="T137" s="624">
        <f>T135+T128+T116+T108+T98+T90+T77+T66+T56+T48+T39+T31+T9</f>
        <v>0</v>
      </c>
      <c r="U137" s="624">
        <f>U135+U128+U116+U108+U98+U90+U77+U66+U56+U48+U39+U31+U9</f>
        <v>0</v>
      </c>
      <c r="V137" s="624">
        <f>V135+V128+V116+V108+V98+V90+V77+V66+V56+V48+V39+V31+V9</f>
        <v>1040780</v>
      </c>
      <c r="X137" s="2937"/>
      <c r="Y137" s="2938"/>
      <c r="Z137" s="2938">
        <f>Z135+Z128+Z116+Z108+Z98+Z90+Z77+Z66+Z56+Z48+Z39+Z31+Z9</f>
        <v>1186114.46</v>
      </c>
      <c r="AA137" s="2938" t="e">
        <f ca="1">AA135+AA128+AA116+AA108+AA98+AA90+AA77+AA66+AA56+AA48+AA39+AA31+AA9</f>
        <v>#REF!</v>
      </c>
      <c r="AB137" s="2938">
        <f ca="1">AB135+AB128+AB116+AB108+AB98+AB90+AB77+AB66+AB56+AB48+AB39+AB31+AB9</f>
        <v>0</v>
      </c>
      <c r="AC137" s="2938" t="e">
        <f ca="1">AC135+AC128+AC116+AC108+AC98+AC90+AC77+AC66+AC56+AC48+AC39+AC31+AC9</f>
        <v>#REF!</v>
      </c>
      <c r="AD137" s="2938" t="e">
        <f ca="1">AD135+AD128+AD116+AD108+AD98+AD90+AD77+AD66+AD56+AD48+AD39+AD31+AD9</f>
        <v>#REF!</v>
      </c>
    </row>
    <row r="138" spans="1:30" x14ac:dyDescent="0.25">
      <c r="R138" s="10">
        <f>-R137+'סיכום 9.17  '!F61</f>
        <v>0</v>
      </c>
    </row>
    <row r="141" spans="1:30" x14ac:dyDescent="0.25">
      <c r="R141" s="91"/>
    </row>
    <row r="142" spans="1:30" x14ac:dyDescent="0.25">
      <c r="R142" s="91"/>
    </row>
  </sheetData>
  <mergeCells count="93">
    <mergeCell ref="H2:I2"/>
    <mergeCell ref="C2:E2"/>
    <mergeCell ref="B32:I32"/>
    <mergeCell ref="H16:I16"/>
    <mergeCell ref="C16:E16"/>
    <mergeCell ref="B12:H12"/>
    <mergeCell ref="B11:H11"/>
    <mergeCell ref="H50:I50"/>
    <mergeCell ref="C50:E50"/>
    <mergeCell ref="H42:I42"/>
    <mergeCell ref="C42:E42"/>
    <mergeCell ref="H34:I34"/>
    <mergeCell ref="C34:E34"/>
    <mergeCell ref="C132:E132"/>
    <mergeCell ref="H132:I132"/>
    <mergeCell ref="P120:R120"/>
    <mergeCell ref="AC132:AD132"/>
    <mergeCell ref="P132:R132"/>
    <mergeCell ref="U132:V132"/>
    <mergeCell ref="U111:V111"/>
    <mergeCell ref="X132:Z132"/>
    <mergeCell ref="O100:U100"/>
    <mergeCell ref="X93:Z93"/>
    <mergeCell ref="AC93:AD93"/>
    <mergeCell ref="P93:R93"/>
    <mergeCell ref="U93:V93"/>
    <mergeCell ref="O99:U99"/>
    <mergeCell ref="P103:R103"/>
    <mergeCell ref="U103:V103"/>
    <mergeCell ref="X103:Z103"/>
    <mergeCell ref="AC103:AD103"/>
    <mergeCell ref="O109:U109"/>
    <mergeCell ref="X111:Z111"/>
    <mergeCell ref="AC111:AD111"/>
    <mergeCell ref="P111:R111"/>
    <mergeCell ref="P80:R80"/>
    <mergeCell ref="U80:V80"/>
    <mergeCell ref="O91:U91"/>
    <mergeCell ref="X80:Z80"/>
    <mergeCell ref="AC71:AD71"/>
    <mergeCell ref="T71:T77"/>
    <mergeCell ref="U71:V71"/>
    <mergeCell ref="X71:Z71"/>
    <mergeCell ref="P71:R71"/>
    <mergeCell ref="AC80:AD80"/>
    <mergeCell ref="AC2:AD2"/>
    <mergeCell ref="P50:R50"/>
    <mergeCell ref="U50:V50"/>
    <mergeCell ref="P2:R2"/>
    <mergeCell ref="U2:V2"/>
    <mergeCell ref="O10:U10"/>
    <mergeCell ref="O11:U11"/>
    <mergeCell ref="O12:U12"/>
    <mergeCell ref="U16:V16"/>
    <mergeCell ref="X16:Z16"/>
    <mergeCell ref="AC16:AD16"/>
    <mergeCell ref="U34:V34"/>
    <mergeCell ref="X50:Z50"/>
    <mergeCell ref="X2:Z2"/>
    <mergeCell ref="V37:V38"/>
    <mergeCell ref="AC59:AD59"/>
    <mergeCell ref="P59:R59"/>
    <mergeCell ref="U59:V59"/>
    <mergeCell ref="O69:U69"/>
    <mergeCell ref="O57:U57"/>
    <mergeCell ref="O67:U67"/>
    <mergeCell ref="O68:U68"/>
    <mergeCell ref="X59:Z59"/>
    <mergeCell ref="AC50:AD50"/>
    <mergeCell ref="O13:U13"/>
    <mergeCell ref="X34:Z34"/>
    <mergeCell ref="AC34:AD34"/>
    <mergeCell ref="U42:V42"/>
    <mergeCell ref="X42:Z42"/>
    <mergeCell ref="AC42:AD42"/>
    <mergeCell ref="P16:R16"/>
    <mergeCell ref="P34:R34"/>
    <mergeCell ref="P42:R42"/>
    <mergeCell ref="C111:E111"/>
    <mergeCell ref="H111:I111"/>
    <mergeCell ref="C103:E103"/>
    <mergeCell ref="H103:I103"/>
    <mergeCell ref="C59:E59"/>
    <mergeCell ref="H59:I59"/>
    <mergeCell ref="B67:I67"/>
    <mergeCell ref="C71:E71"/>
    <mergeCell ref="G71:G77"/>
    <mergeCell ref="H71:I71"/>
    <mergeCell ref="B109:H109"/>
    <mergeCell ref="C80:E80"/>
    <mergeCell ref="H80:I80"/>
    <mergeCell ref="C93:E93"/>
    <mergeCell ref="H93:I93"/>
  </mergeCells>
  <pageMargins left="0.70866141732283505" right="0.70866141732283505" top="0.74803149606299202" bottom="0.74803149606299202" header="0.31496062992126" footer="0.31496062992126"/>
  <pageSetup paperSize="9" scale="76" fitToHeight="0" orientation="portrait" r:id="rId1"/>
  <headerFooter>
    <oddHeader>&amp;L&amp;D&amp;C&amp;A&amp;R&amp;F</oddHeader>
    <oddFooter>&amp;L&amp;P</oddFooter>
  </headerFooter>
  <rowBreaks count="3" manualBreakCount="3">
    <brk id="41" min="13" max="21" man="1"/>
    <brk id="79" min="13" max="21" man="1"/>
    <brk id="119" min="13" max="21"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D118"/>
  <sheetViews>
    <sheetView rightToLeft="1" tabSelected="1" zoomScaleNormal="100" zoomScaleSheetLayoutView="100" workbookViewId="0">
      <pane ySplit="1" topLeftCell="A98" activePane="bottomLeft" state="frozen"/>
      <selection activeCell="A101" sqref="A101"/>
      <selection pane="bottomLeft" activeCell="U112" sqref="U112"/>
    </sheetView>
  </sheetViews>
  <sheetFormatPr defaultRowHeight="14.25" x14ac:dyDescent="0.2"/>
  <cols>
    <col min="1" max="1" width="4.125" style="303" hidden="1" customWidth="1"/>
    <col min="2" max="2" width="28.125" style="303" hidden="1" customWidth="1"/>
    <col min="3" max="3" width="15.125" hidden="1" customWidth="1"/>
    <col min="4" max="4" width="13.875" hidden="1" customWidth="1"/>
    <col min="5" max="5" width="17.25" hidden="1" customWidth="1"/>
    <col min="6" max="6" width="17.125" hidden="1" customWidth="1"/>
    <col min="7" max="7" width="2.25" hidden="1" customWidth="1"/>
    <col min="8" max="8" width="12.75" hidden="1" customWidth="1"/>
    <col min="9" max="9" width="13.875" hidden="1" customWidth="1"/>
    <col min="10" max="10" width="7.875" hidden="1" customWidth="1"/>
    <col min="11" max="13" width="9" hidden="1" customWidth="1"/>
    <col min="14" max="14" width="2.625" customWidth="1"/>
    <col min="15" max="15" width="32.5" customWidth="1"/>
    <col min="18" max="18" width="12.625" bestFit="1" customWidth="1"/>
    <col min="19" max="19" width="10.125" bestFit="1" customWidth="1"/>
    <col min="20" max="20" width="2" customWidth="1"/>
    <col min="21" max="21" width="9.125" customWidth="1"/>
    <col min="22" max="22" width="13.625" customWidth="1"/>
    <col min="23" max="25" width="9" hidden="1" customWidth="1"/>
    <col min="26" max="26" width="9.25" hidden="1" customWidth="1"/>
    <col min="27" max="27" width="9" hidden="1" customWidth="1"/>
    <col min="28" max="28" width="1.5" hidden="1" customWidth="1"/>
    <col min="29" max="30" width="9" hidden="1" customWidth="1"/>
    <col min="40" max="40" width="11" bestFit="1" customWidth="1"/>
    <col min="41" max="42" width="11" customWidth="1"/>
    <col min="43" max="43" width="10" bestFit="1" customWidth="1"/>
    <col min="44" max="46" width="9.25" bestFit="1" customWidth="1"/>
    <col min="47" max="47" width="10" bestFit="1" customWidth="1"/>
    <col min="48" max="48" width="9.25" bestFit="1" customWidth="1"/>
    <col min="49" max="49" width="9.625" bestFit="1" customWidth="1"/>
    <col min="50" max="50" width="9.25" bestFit="1" customWidth="1"/>
    <col min="51" max="53" width="9.25" customWidth="1"/>
    <col min="54" max="54" width="10" bestFit="1" customWidth="1"/>
  </cols>
  <sheetData>
    <row r="1" spans="1:56" ht="29.25" thickBot="1" x14ac:dyDescent="0.25">
      <c r="A1" s="387"/>
      <c r="B1" s="388"/>
      <c r="C1" s="388"/>
      <c r="D1" s="388"/>
      <c r="E1" s="92" t="s">
        <v>75</v>
      </c>
      <c r="F1" s="92" t="s">
        <v>76</v>
      </c>
      <c r="G1" s="388"/>
      <c r="H1" s="388"/>
      <c r="J1">
        <v>3.8</v>
      </c>
      <c r="AN1" s="293" t="s">
        <v>488</v>
      </c>
      <c r="AO1" s="293" t="s">
        <v>494</v>
      </c>
      <c r="AP1" s="293" t="s">
        <v>495</v>
      </c>
      <c r="AQ1" s="293" t="s">
        <v>490</v>
      </c>
      <c r="AR1" s="293" t="s">
        <v>489</v>
      </c>
      <c r="AS1" s="293" t="s">
        <v>250</v>
      </c>
      <c r="AT1" s="293" t="s">
        <v>251</v>
      </c>
      <c r="AU1" s="293" t="s">
        <v>493</v>
      </c>
      <c r="AV1" s="293" t="s">
        <v>491</v>
      </c>
      <c r="AW1" s="293" t="s">
        <v>358</v>
      </c>
      <c r="AX1" s="293" t="s">
        <v>492</v>
      </c>
      <c r="AY1" s="293" t="s">
        <v>496</v>
      </c>
      <c r="AZ1" s="293" t="s">
        <v>497</v>
      </c>
      <c r="BA1" s="293" t="s">
        <v>498</v>
      </c>
      <c r="BB1" s="293" t="s">
        <v>172</v>
      </c>
      <c r="BC1" s="293" t="s">
        <v>499</v>
      </c>
      <c r="BD1" s="293" t="s">
        <v>500</v>
      </c>
    </row>
    <row r="2" spans="1:56" ht="15" x14ac:dyDescent="0.25">
      <c r="A2" s="369">
        <v>1</v>
      </c>
      <c r="B2" s="183" t="s">
        <v>415</v>
      </c>
      <c r="C2" s="3271" t="s">
        <v>398</v>
      </c>
      <c r="D2" s="3271"/>
      <c r="E2" s="3271"/>
      <c r="F2" s="184"/>
      <c r="G2" s="6"/>
      <c r="H2" s="3272" t="s">
        <v>88</v>
      </c>
      <c r="I2" s="3273"/>
      <c r="N2" s="182">
        <v>1</v>
      </c>
      <c r="O2" s="183" t="s">
        <v>415</v>
      </c>
      <c r="P2" s="3274" t="s">
        <v>501</v>
      </c>
      <c r="Q2" s="3275"/>
      <c r="R2" s="3276"/>
      <c r="S2" s="448"/>
      <c r="T2" s="451"/>
      <c r="U2" s="3272" t="s">
        <v>88</v>
      </c>
      <c r="V2" s="3273"/>
      <c r="X2" s="3271" t="s">
        <v>506</v>
      </c>
      <c r="Y2" s="3271"/>
      <c r="Z2" s="3271"/>
      <c r="AA2" s="448"/>
      <c r="AB2" s="451"/>
      <c r="AC2" s="3272" t="s">
        <v>88</v>
      </c>
      <c r="AD2" s="3273"/>
    </row>
    <row r="3" spans="1:56" ht="60" x14ac:dyDescent="0.25">
      <c r="A3" s="252"/>
      <c r="B3" s="187" t="s">
        <v>89</v>
      </c>
      <c r="C3" s="186" t="s">
        <v>90</v>
      </c>
      <c r="D3" s="186" t="s">
        <v>91</v>
      </c>
      <c r="E3" s="186" t="s">
        <v>92</v>
      </c>
      <c r="F3" s="186"/>
      <c r="G3" s="5"/>
      <c r="H3" s="187" t="s">
        <v>54</v>
      </c>
      <c r="I3" s="188" t="s">
        <v>92</v>
      </c>
      <c r="N3" s="185"/>
      <c r="O3" s="452" t="s">
        <v>89</v>
      </c>
      <c r="P3" s="453" t="s">
        <v>90</v>
      </c>
      <c r="Q3" s="453" t="s">
        <v>91</v>
      </c>
      <c r="R3" s="453" t="s">
        <v>502</v>
      </c>
      <c r="S3" s="453"/>
      <c r="T3" s="454"/>
      <c r="U3" s="452" t="s">
        <v>54</v>
      </c>
      <c r="V3" s="455" t="s">
        <v>502</v>
      </c>
      <c r="X3" s="453" t="s">
        <v>90</v>
      </c>
      <c r="Y3" s="453" t="s">
        <v>91</v>
      </c>
      <c r="Z3" s="453" t="s">
        <v>507</v>
      </c>
      <c r="AA3" s="453"/>
      <c r="AB3" s="454"/>
      <c r="AC3" s="452" t="s">
        <v>54</v>
      </c>
      <c r="AD3" s="455" t="s">
        <v>507</v>
      </c>
    </row>
    <row r="4" spans="1:56" ht="30" x14ac:dyDescent="0.25">
      <c r="A4" s="252"/>
      <c r="B4" s="189" t="s">
        <v>416</v>
      </c>
      <c r="C4" s="190">
        <v>2</v>
      </c>
      <c r="D4" s="190"/>
      <c r="E4" s="190"/>
      <c r="F4" s="190"/>
      <c r="G4" s="5"/>
      <c r="H4" s="191"/>
      <c r="I4" s="192"/>
      <c r="N4" s="185"/>
      <c r="O4" s="189" t="s">
        <v>766</v>
      </c>
      <c r="P4" s="190">
        <v>2</v>
      </c>
      <c r="Q4" s="190"/>
      <c r="R4" s="190"/>
      <c r="S4" s="190"/>
      <c r="T4" s="456"/>
      <c r="U4" s="457"/>
      <c r="V4" s="458"/>
      <c r="X4" s="1634">
        <f>P4-C4</f>
        <v>0</v>
      </c>
      <c r="Y4" s="1634">
        <f t="shared" ref="Y4:AA9" si="0">Q4-D4</f>
        <v>0</v>
      </c>
      <c r="Z4" s="1634">
        <f t="shared" si="0"/>
        <v>0</v>
      </c>
      <c r="AA4" s="1634">
        <f t="shared" si="0"/>
        <v>0</v>
      </c>
      <c r="AB4" s="456"/>
      <c r="AC4" s="1634">
        <f t="shared" ref="AC4:AC9" si="1">U4-H4</f>
        <v>0</v>
      </c>
      <c r="AD4" s="1634">
        <f t="shared" ref="AD4:AD9" si="2">V4-I4</f>
        <v>0</v>
      </c>
    </row>
    <row r="5" spans="1:56" ht="15" x14ac:dyDescent="0.25">
      <c r="A5" s="252"/>
      <c r="B5" s="189"/>
      <c r="C5" s="190"/>
      <c r="D5" s="190"/>
      <c r="E5" s="190"/>
      <c r="F5" s="190"/>
      <c r="G5" s="5"/>
      <c r="H5" s="191"/>
      <c r="I5" s="192"/>
      <c r="N5" s="185"/>
      <c r="O5" s="189" t="s">
        <v>765</v>
      </c>
      <c r="P5" s="190">
        <v>6</v>
      </c>
      <c r="Q5" s="190"/>
      <c r="R5" s="190"/>
      <c r="S5" s="190"/>
      <c r="T5" s="456"/>
      <c r="U5" s="457"/>
      <c r="V5" s="458"/>
      <c r="X5" s="1634"/>
      <c r="Y5" s="1634"/>
      <c r="Z5" s="1634"/>
      <c r="AA5" s="1634"/>
      <c r="AB5" s="456"/>
      <c r="AC5" s="1634"/>
      <c r="AD5" s="1634"/>
    </row>
    <row r="6" spans="1:56" x14ac:dyDescent="0.2">
      <c r="A6" s="252">
        <v>1</v>
      </c>
      <c r="B6" s="391" t="s">
        <v>605</v>
      </c>
      <c r="C6" s="392">
        <f>12*C4</f>
        <v>24</v>
      </c>
      <c r="D6" s="193">
        <f>2200*$J$1</f>
        <v>8360</v>
      </c>
      <c r="E6" s="231">
        <f>+D6*C6</f>
        <v>200640</v>
      </c>
      <c r="F6" s="231"/>
      <c r="G6" s="5"/>
      <c r="H6" s="191"/>
      <c r="I6" s="192"/>
      <c r="N6" s="185"/>
      <c r="O6" s="391" t="s">
        <v>503</v>
      </c>
      <c r="P6" s="392">
        <v>12</v>
      </c>
      <c r="Q6" s="460">
        <f>1900*$J$1</f>
        <v>7220</v>
      </c>
      <c r="R6" s="459">
        <f>+Q6*P6</f>
        <v>86640</v>
      </c>
      <c r="S6" s="459"/>
      <c r="T6" s="456"/>
      <c r="U6" s="457"/>
      <c r="V6" s="458"/>
      <c r="X6" s="1634">
        <f>P6-C6</f>
        <v>-12</v>
      </c>
      <c r="Y6" s="1634">
        <f t="shared" si="0"/>
        <v>-1140</v>
      </c>
      <c r="Z6" s="1634">
        <f t="shared" si="0"/>
        <v>-114000</v>
      </c>
      <c r="AA6" s="1634">
        <f t="shared" si="0"/>
        <v>0</v>
      </c>
      <c r="AB6" s="456"/>
      <c r="AC6" s="1634">
        <f t="shared" si="1"/>
        <v>0</v>
      </c>
      <c r="AD6" s="1634">
        <f t="shared" si="2"/>
        <v>0</v>
      </c>
      <c r="AN6" s="91">
        <f>E6</f>
        <v>200640</v>
      </c>
      <c r="AO6" s="91"/>
      <c r="AP6" s="91"/>
    </row>
    <row r="7" spans="1:56" ht="28.5" x14ac:dyDescent="0.2">
      <c r="A7" s="252">
        <v>2</v>
      </c>
      <c r="B7" s="226" t="s">
        <v>418</v>
      </c>
      <c r="C7" s="231">
        <f>+C6*7</f>
        <v>168</v>
      </c>
      <c r="D7" s="193">
        <f>(60+180+20)*$J$1</f>
        <v>988</v>
      </c>
      <c r="E7" s="231">
        <f>+D7*C7</f>
        <v>165984</v>
      </c>
      <c r="F7" s="231"/>
      <c r="G7" s="5"/>
      <c r="H7" s="191"/>
      <c r="I7" s="192"/>
      <c r="N7" s="185"/>
      <c r="O7" s="226" t="s">
        <v>418</v>
      </c>
      <c r="P7" s="231">
        <f>+P6*7</f>
        <v>84</v>
      </c>
      <c r="Q7" s="460">
        <f>(60+180+20)*$J$1</f>
        <v>988</v>
      </c>
      <c r="R7" s="459">
        <f>+Q7*P7</f>
        <v>82992</v>
      </c>
      <c r="S7" s="459"/>
      <c r="T7" s="456"/>
      <c r="U7" s="457"/>
      <c r="V7" s="458"/>
      <c r="X7" s="1634">
        <f>P7-C7</f>
        <v>-84</v>
      </c>
      <c r="Y7" s="1634">
        <f t="shared" si="0"/>
        <v>0</v>
      </c>
      <c r="Z7" s="1634">
        <f t="shared" si="0"/>
        <v>-82992</v>
      </c>
      <c r="AA7" s="1634">
        <f t="shared" si="0"/>
        <v>0</v>
      </c>
      <c r="AB7" s="456"/>
      <c r="AC7" s="1634">
        <f t="shared" si="1"/>
        <v>0</v>
      </c>
      <c r="AD7" s="1634">
        <f t="shared" si="2"/>
        <v>0</v>
      </c>
      <c r="AN7" s="91"/>
      <c r="AO7" s="91">
        <f>(180)*$J$1*C7</f>
        <v>114912</v>
      </c>
      <c r="AP7" s="91">
        <f>(60)*$J$1*C7</f>
        <v>38304</v>
      </c>
      <c r="AW7" s="91">
        <f>(20)*$J$1*C7</f>
        <v>12768</v>
      </c>
    </row>
    <row r="8" spans="1:56" x14ac:dyDescent="0.2">
      <c r="A8" s="252">
        <v>3</v>
      </c>
      <c r="B8" s="290" t="s">
        <v>419</v>
      </c>
      <c r="C8" s="393">
        <f>2*7*C4</f>
        <v>28</v>
      </c>
      <c r="D8" s="193">
        <f>350*$J$1</f>
        <v>1330</v>
      </c>
      <c r="E8" s="193">
        <f>+D8*C8</f>
        <v>37240</v>
      </c>
      <c r="F8" s="193"/>
      <c r="G8" s="5"/>
      <c r="H8" s="191"/>
      <c r="I8" s="192"/>
      <c r="N8" s="185"/>
      <c r="O8" s="290" t="s">
        <v>419</v>
      </c>
      <c r="P8" s="393">
        <f>7*P4</f>
        <v>14</v>
      </c>
      <c r="Q8" s="460">
        <f>350*$J$1</f>
        <v>1330</v>
      </c>
      <c r="R8" s="460">
        <f>+Q8*P8</f>
        <v>18620</v>
      </c>
      <c r="S8" s="460"/>
      <c r="T8" s="456"/>
      <c r="U8" s="457"/>
      <c r="V8" s="458"/>
      <c r="X8" s="1634">
        <f>P8-C8</f>
        <v>-14</v>
      </c>
      <c r="Y8" s="1634">
        <f t="shared" si="0"/>
        <v>0</v>
      </c>
      <c r="Z8" s="1634">
        <f t="shared" si="0"/>
        <v>-18620</v>
      </c>
      <c r="AA8" s="1634">
        <f t="shared" si="0"/>
        <v>0</v>
      </c>
      <c r="AB8" s="456"/>
      <c r="AC8" s="1634">
        <f t="shared" si="1"/>
        <v>0</v>
      </c>
      <c r="AD8" s="1634">
        <f t="shared" si="2"/>
        <v>0</v>
      </c>
      <c r="BB8" s="91">
        <f>E8</f>
        <v>37240</v>
      </c>
    </row>
    <row r="9" spans="1:56" ht="57" x14ac:dyDescent="0.2">
      <c r="A9" s="252">
        <v>4</v>
      </c>
      <c r="B9" s="226" t="s">
        <v>828</v>
      </c>
      <c r="C9" s="193">
        <v>3</v>
      </c>
      <c r="D9" s="193">
        <f>3000*$J$1+5000*J1</f>
        <v>30400</v>
      </c>
      <c r="E9" s="193">
        <f>+D9*C9</f>
        <v>91200</v>
      </c>
      <c r="F9" s="193"/>
      <c r="G9" s="5"/>
      <c r="H9" s="191"/>
      <c r="I9" s="192"/>
      <c r="N9" s="185"/>
      <c r="O9" s="226" t="s">
        <v>827</v>
      </c>
      <c r="P9" s="193">
        <v>2</v>
      </c>
      <c r="Q9" s="460">
        <f>3000*$J$1+5000*$J$1</f>
        <v>30400</v>
      </c>
      <c r="R9" s="460">
        <f>+Q9*P9</f>
        <v>60800</v>
      </c>
      <c r="S9" s="460"/>
      <c r="T9" s="456"/>
      <c r="U9" s="457"/>
      <c r="V9" s="458"/>
      <c r="X9" s="1634">
        <f>P9-C9</f>
        <v>-1</v>
      </c>
      <c r="Y9" s="1634">
        <f t="shared" si="0"/>
        <v>0</v>
      </c>
      <c r="Z9" s="1634">
        <f t="shared" si="0"/>
        <v>-30400</v>
      </c>
      <c r="AA9" s="1634">
        <f t="shared" si="0"/>
        <v>0</v>
      </c>
      <c r="AB9" s="456"/>
      <c r="AC9" s="1634">
        <f t="shared" si="1"/>
        <v>0</v>
      </c>
      <c r="AD9" s="1634">
        <f t="shared" si="2"/>
        <v>0</v>
      </c>
      <c r="AU9" s="91">
        <f>E9</f>
        <v>91200</v>
      </c>
    </row>
    <row r="10" spans="1:56" ht="15" x14ac:dyDescent="0.25">
      <c r="A10" s="252"/>
      <c r="B10" s="373" t="s">
        <v>13</v>
      </c>
      <c r="C10" s="196"/>
      <c r="D10" s="196"/>
      <c r="E10" s="197">
        <f>SUM(E6:E9)</f>
        <v>495064</v>
      </c>
      <c r="F10" s="197"/>
      <c r="G10" s="5"/>
      <c r="H10" s="198"/>
      <c r="I10" s="199"/>
      <c r="J10" s="91">
        <v>0</v>
      </c>
      <c r="N10" s="185"/>
      <c r="O10" s="373" t="s">
        <v>13</v>
      </c>
      <c r="P10" s="461"/>
      <c r="Q10" s="461"/>
      <c r="R10" s="197">
        <f>SUM(R6:R9)</f>
        <v>249052</v>
      </c>
      <c r="S10" s="197"/>
      <c r="T10" s="456"/>
      <c r="U10" s="462"/>
      <c r="V10" s="199"/>
      <c r="X10" s="461"/>
      <c r="Y10" s="461"/>
      <c r="Z10" s="197">
        <f>SUM(Z6:Z9)</f>
        <v>-246012</v>
      </c>
      <c r="AA10" s="197"/>
      <c r="AB10" s="456"/>
      <c r="AC10" s="462"/>
      <c r="AD10" s="199"/>
    </row>
    <row r="11" spans="1:56" ht="15" x14ac:dyDescent="0.25">
      <c r="A11" s="252"/>
      <c r="B11" s="3310" t="s">
        <v>422</v>
      </c>
      <c r="C11" s="3310"/>
      <c r="D11" s="3310"/>
      <c r="E11" s="3310"/>
      <c r="F11" s="3310"/>
      <c r="G11" s="3310"/>
      <c r="H11" s="3310"/>
      <c r="I11" s="397"/>
      <c r="N11" s="185"/>
      <c r="O11" s="3332" t="s">
        <v>422</v>
      </c>
      <c r="P11" s="3333"/>
      <c r="Q11" s="3333"/>
      <c r="R11" s="3333"/>
      <c r="S11" s="3333"/>
      <c r="T11" s="3333"/>
      <c r="U11" s="3334"/>
      <c r="V11" s="463">
        <f>-R10+[2]ברזיל!$R$11</f>
        <v>0</v>
      </c>
    </row>
    <row r="12" spans="1:56" x14ac:dyDescent="0.2">
      <c r="A12" s="394"/>
      <c r="B12" s="395" t="s">
        <v>460</v>
      </c>
      <c r="C12" s="395"/>
      <c r="D12" s="395"/>
      <c r="E12" s="2818">
        <f>-E10+[2]ברזיל!$E$11</f>
        <v>0</v>
      </c>
      <c r="F12" s="395"/>
      <c r="G12" s="395"/>
      <c r="H12" s="395"/>
      <c r="I12" s="396"/>
      <c r="N12" s="185"/>
      <c r="O12" s="3332" t="s">
        <v>460</v>
      </c>
      <c r="P12" s="3333"/>
      <c r="Q12" s="3333"/>
      <c r="R12" s="3333"/>
      <c r="S12" s="3333"/>
      <c r="T12" s="3333"/>
      <c r="U12" s="3334"/>
      <c r="V12" s="397"/>
    </row>
    <row r="13" spans="1:56" ht="15" thickBot="1" x14ac:dyDescent="0.25">
      <c r="A13" s="282"/>
      <c r="B13" s="3345" t="s">
        <v>423</v>
      </c>
      <c r="C13" s="3345"/>
      <c r="D13" s="3345"/>
      <c r="E13" s="3345"/>
      <c r="F13" s="3345"/>
      <c r="G13" s="3345"/>
      <c r="H13" s="3345"/>
      <c r="I13" s="398"/>
      <c r="N13" s="464"/>
      <c r="O13" s="3344" t="s">
        <v>423</v>
      </c>
      <c r="P13" s="3344"/>
      <c r="Q13" s="3344"/>
      <c r="R13" s="3344"/>
      <c r="S13" s="3344"/>
      <c r="T13" s="3344"/>
      <c r="U13" s="3344"/>
      <c r="V13" s="396"/>
    </row>
    <row r="14" spans="1:56" ht="15.75" thickBot="1" x14ac:dyDescent="0.25">
      <c r="B14" s="465"/>
      <c r="C14" s="465"/>
      <c r="D14" s="465"/>
      <c r="E14" s="465"/>
      <c r="F14" s="465"/>
      <c r="G14" s="465"/>
      <c r="H14" s="465"/>
      <c r="I14" s="202"/>
      <c r="N14" s="200"/>
      <c r="O14" s="3324" t="s">
        <v>505</v>
      </c>
      <c r="P14" s="3324"/>
      <c r="Q14" s="3324"/>
      <c r="R14" s="3324"/>
      <c r="S14" s="3324"/>
      <c r="T14" s="3324"/>
      <c r="U14" s="3324"/>
      <c r="V14" s="450"/>
      <c r="X14" s="44"/>
      <c r="Y14" s="44"/>
      <c r="Z14" s="44"/>
      <c r="AA14" s="44"/>
      <c r="AB14" s="44"/>
      <c r="AC14" s="44"/>
      <c r="AD14" s="44"/>
    </row>
    <row r="15" spans="1:56" s="44" customFormat="1" x14ac:dyDescent="0.2">
      <c r="A15" s="303"/>
      <c r="B15" s="465"/>
      <c r="C15" s="465"/>
      <c r="D15" s="465"/>
      <c r="E15" s="465"/>
      <c r="F15" s="465"/>
      <c r="G15" s="465"/>
      <c r="H15" s="465"/>
      <c r="I15" s="202"/>
      <c r="R15" s="407">
        <f>R10-'[7]פורמט משרד מקוצר'!$Q$14</f>
        <v>0</v>
      </c>
    </row>
    <row r="16" spans="1:56" s="44" customFormat="1" ht="15" thickBot="1" x14ac:dyDescent="0.25">
      <c r="A16"/>
      <c r="B16"/>
      <c r="C16"/>
      <c r="D16"/>
      <c r="E16"/>
      <c r="F16"/>
      <c r="G16"/>
      <c r="H16"/>
      <c r="I16"/>
      <c r="X16"/>
      <c r="Y16"/>
      <c r="Z16"/>
      <c r="AA16"/>
      <c r="AB16"/>
      <c r="AC16"/>
      <c r="AD16"/>
    </row>
    <row r="17" spans="1:54" ht="15" x14ac:dyDescent="0.25">
      <c r="A17" s="399">
        <v>2</v>
      </c>
      <c r="B17" s="211" t="s">
        <v>397</v>
      </c>
      <c r="C17" s="3271" t="s">
        <v>410</v>
      </c>
      <c r="D17" s="3271"/>
      <c r="E17" s="3271"/>
      <c r="F17" s="184"/>
      <c r="G17" s="6"/>
      <c r="H17" s="3272" t="s">
        <v>88</v>
      </c>
      <c r="I17" s="3273"/>
      <c r="N17" s="399">
        <v>2</v>
      </c>
      <c r="O17" s="211" t="s">
        <v>397</v>
      </c>
      <c r="P17" s="3271" t="s">
        <v>410</v>
      </c>
      <c r="Q17" s="3271"/>
      <c r="R17" s="3271"/>
      <c r="S17" s="556"/>
      <c r="T17" s="6"/>
      <c r="U17" s="3272" t="s">
        <v>88</v>
      </c>
      <c r="V17" s="3273"/>
      <c r="X17" s="3271" t="s">
        <v>506</v>
      </c>
      <c r="Y17" s="3271"/>
      <c r="Z17" s="3271"/>
      <c r="AA17" s="556"/>
      <c r="AB17" s="451"/>
      <c r="AC17" s="3272" t="s">
        <v>88</v>
      </c>
      <c r="AD17" s="3273"/>
    </row>
    <row r="18" spans="1:54" ht="60" x14ac:dyDescent="0.25">
      <c r="A18" s="371"/>
      <c r="B18" s="187" t="s">
        <v>89</v>
      </c>
      <c r="C18" s="187" t="s">
        <v>54</v>
      </c>
      <c r="D18" s="186" t="s">
        <v>91</v>
      </c>
      <c r="E18" s="186" t="s">
        <v>92</v>
      </c>
      <c r="F18" s="186"/>
      <c r="G18" s="194"/>
      <c r="H18" s="187" t="s">
        <v>54</v>
      </c>
      <c r="I18" s="188" t="s">
        <v>92</v>
      </c>
      <c r="N18" s="371"/>
      <c r="O18" s="187" t="s">
        <v>89</v>
      </c>
      <c r="P18" s="187" t="s">
        <v>54</v>
      </c>
      <c r="Q18" s="186" t="s">
        <v>91</v>
      </c>
      <c r="R18" s="186" t="s">
        <v>92</v>
      </c>
      <c r="S18" s="186"/>
      <c r="T18" s="194"/>
      <c r="U18" s="187" t="s">
        <v>54</v>
      </c>
      <c r="V18" s="188" t="s">
        <v>92</v>
      </c>
      <c r="X18" s="453" t="s">
        <v>90</v>
      </c>
      <c r="Y18" s="453" t="s">
        <v>91</v>
      </c>
      <c r="Z18" s="453" t="s">
        <v>507</v>
      </c>
      <c r="AA18" s="453"/>
      <c r="AB18" s="454"/>
      <c r="AC18" s="452" t="s">
        <v>54</v>
      </c>
      <c r="AD18" s="455" t="s">
        <v>507</v>
      </c>
      <c r="AU18" s="91">
        <f>E20</f>
        <v>27623</v>
      </c>
    </row>
    <row r="19" spans="1:54" ht="15" x14ac:dyDescent="0.25">
      <c r="A19" s="252"/>
      <c r="B19" s="218" t="s">
        <v>111</v>
      </c>
      <c r="C19" s="219">
        <v>11</v>
      </c>
      <c r="D19" s="219"/>
      <c r="E19" s="220"/>
      <c r="F19" s="220"/>
      <c r="G19" s="194"/>
      <c r="H19" s="400"/>
      <c r="I19" s="397"/>
      <c r="N19" s="252"/>
      <c r="O19" s="218" t="s">
        <v>111</v>
      </c>
      <c r="P19" s="219">
        <v>11</v>
      </c>
      <c r="Q19" s="219"/>
      <c r="R19" s="220"/>
      <c r="S19" s="220"/>
      <c r="T19" s="194"/>
      <c r="U19" s="400"/>
      <c r="V19" s="397"/>
      <c r="X19" s="1634">
        <f t="shared" ref="X19:AA22" si="3">P19-C19</f>
        <v>0</v>
      </c>
      <c r="Y19" s="1634">
        <f t="shared" si="3"/>
        <v>0</v>
      </c>
      <c r="Z19" s="1634">
        <f t="shared" si="3"/>
        <v>0</v>
      </c>
      <c r="AA19" s="1634">
        <f t="shared" si="3"/>
        <v>0</v>
      </c>
      <c r="AB19" s="456"/>
      <c r="AC19" s="1634">
        <f t="shared" ref="AC19:AD22" si="4">U19-H19</f>
        <v>0</v>
      </c>
      <c r="AD19" s="1634">
        <f t="shared" si="4"/>
        <v>0</v>
      </c>
      <c r="AY19" s="91">
        <f>E21</f>
        <v>355300</v>
      </c>
    </row>
    <row r="20" spans="1:54" ht="57" x14ac:dyDescent="0.25">
      <c r="A20" s="252"/>
      <c r="B20" s="221" t="s">
        <v>829</v>
      </c>
      <c r="C20" s="222">
        <f>C19</f>
        <v>11</v>
      </c>
      <c r="D20" s="222">
        <f>5700/11+2000-7</f>
        <v>2511.181818181818</v>
      </c>
      <c r="E20" s="222">
        <f>C20*D20</f>
        <v>27623</v>
      </c>
      <c r="F20" s="222"/>
      <c r="G20" s="194"/>
      <c r="H20" s="400"/>
      <c r="I20" s="397"/>
      <c r="N20" s="252"/>
      <c r="O20" s="221" t="s">
        <v>829</v>
      </c>
      <c r="P20" s="222">
        <v>11</v>
      </c>
      <c r="Q20" s="2840">
        <f>5700/11+2000</f>
        <v>2518.181818181818</v>
      </c>
      <c r="R20" s="222">
        <f>P20*Q20</f>
        <v>27700</v>
      </c>
      <c r="S20" s="222"/>
      <c r="T20" s="194"/>
      <c r="U20" s="400"/>
      <c r="V20" s="1557"/>
      <c r="X20" s="1634">
        <f t="shared" si="3"/>
        <v>0</v>
      </c>
      <c r="Y20" s="1634">
        <f t="shared" si="3"/>
        <v>7</v>
      </c>
      <c r="Z20" s="1634">
        <f t="shared" si="3"/>
        <v>77</v>
      </c>
      <c r="AA20" s="1634">
        <f t="shared" si="3"/>
        <v>0</v>
      </c>
      <c r="AB20" s="456"/>
      <c r="AC20" s="1634">
        <f t="shared" si="4"/>
        <v>0</v>
      </c>
      <c r="AD20" s="1634">
        <f t="shared" si="4"/>
        <v>0</v>
      </c>
      <c r="AY20" s="91">
        <f>E22</f>
        <v>-177650</v>
      </c>
    </row>
    <row r="21" spans="1:54" ht="15" x14ac:dyDescent="0.25">
      <c r="A21" s="252"/>
      <c r="B21" s="221" t="s">
        <v>112</v>
      </c>
      <c r="C21" s="222">
        <f>$C$19</f>
        <v>11</v>
      </c>
      <c r="D21" s="222">
        <f>8500*J1</f>
        <v>32300</v>
      </c>
      <c r="E21" s="222">
        <f>C21*D21</f>
        <v>355300</v>
      </c>
      <c r="F21" s="222"/>
      <c r="G21" s="194"/>
      <c r="H21" s="400"/>
      <c r="I21" s="397"/>
      <c r="N21" s="252"/>
      <c r="O21" s="221" t="s">
        <v>112</v>
      </c>
      <c r="P21" s="222">
        <f>P19</f>
        <v>11</v>
      </c>
      <c r="Q21" s="222">
        <f>8500*J1</f>
        <v>32300</v>
      </c>
      <c r="R21" s="222">
        <f>P21*Q21</f>
        <v>355300</v>
      </c>
      <c r="S21" s="222"/>
      <c r="T21" s="194"/>
      <c r="U21" s="400"/>
      <c r="V21" s="397"/>
      <c r="X21" s="1634">
        <f t="shared" si="3"/>
        <v>0</v>
      </c>
      <c r="Y21" s="1634">
        <f t="shared" si="3"/>
        <v>0</v>
      </c>
      <c r="Z21" s="1634">
        <f t="shared" si="3"/>
        <v>0</v>
      </c>
      <c r="AA21" s="1634">
        <f t="shared" si="3"/>
        <v>0</v>
      </c>
      <c r="AB21" s="456"/>
      <c r="AC21" s="1634">
        <f t="shared" si="4"/>
        <v>0</v>
      </c>
      <c r="AD21" s="1634">
        <f t="shared" si="4"/>
        <v>0</v>
      </c>
      <c r="AZ21" s="91" t="e">
        <f>#REF!</f>
        <v>#REF!</v>
      </c>
    </row>
    <row r="22" spans="1:54" ht="15" x14ac:dyDescent="0.25">
      <c r="A22" s="252"/>
      <c r="B22" s="221" t="s">
        <v>461</v>
      </c>
      <c r="C22" s="222">
        <f>$C$19</f>
        <v>11</v>
      </c>
      <c r="D22" s="222">
        <f>-D21/2</f>
        <v>-16150</v>
      </c>
      <c r="E22" s="222">
        <f>C22*D22</f>
        <v>-177650</v>
      </c>
      <c r="F22" s="222"/>
      <c r="G22" s="194"/>
      <c r="H22" s="400"/>
      <c r="I22" s="397"/>
      <c r="N22" s="252"/>
      <c r="O22" s="221" t="s">
        <v>461</v>
      </c>
      <c r="P22" s="222">
        <f>P19</f>
        <v>11</v>
      </c>
      <c r="Q22" s="222">
        <f>-Q21/2</f>
        <v>-16150</v>
      </c>
      <c r="R22" s="222">
        <f>P22*Q22</f>
        <v>-177650</v>
      </c>
      <c r="S22" s="222"/>
      <c r="T22" s="194"/>
      <c r="U22" s="400"/>
      <c r="V22" s="397"/>
      <c r="X22" s="1634">
        <f t="shared" si="3"/>
        <v>0</v>
      </c>
      <c r="Y22" s="1634">
        <f t="shared" si="3"/>
        <v>0</v>
      </c>
      <c r="Z22" s="1634">
        <f t="shared" si="3"/>
        <v>0</v>
      </c>
      <c r="AA22" s="1634">
        <f t="shared" si="3"/>
        <v>0</v>
      </c>
      <c r="AB22" s="456"/>
      <c r="AC22" s="1634">
        <f t="shared" si="4"/>
        <v>0</v>
      </c>
      <c r="AD22" s="1634">
        <f t="shared" si="4"/>
        <v>0</v>
      </c>
    </row>
    <row r="23" spans="1:54" ht="15" x14ac:dyDescent="0.25">
      <c r="A23" s="252"/>
      <c r="B23" s="221"/>
      <c r="C23" s="225"/>
      <c r="D23" s="245"/>
      <c r="E23" s="430"/>
      <c r="F23" s="430"/>
      <c r="G23" s="194"/>
      <c r="H23" s="400"/>
      <c r="I23" s="430"/>
      <c r="N23" s="252"/>
      <c r="O23" s="221" t="s">
        <v>894</v>
      </c>
      <c r="P23" s="568">
        <v>13</v>
      </c>
      <c r="Q23" s="558">
        <v>1500</v>
      </c>
      <c r="R23" s="430">
        <f>Q23*P23</f>
        <v>19500</v>
      </c>
      <c r="S23" s="430"/>
      <c r="T23" s="194"/>
      <c r="U23" s="400"/>
      <c r="V23" s="430"/>
      <c r="X23" s="1633">
        <f>P23-C23</f>
        <v>13</v>
      </c>
      <c r="Y23" s="1634">
        <f>Q23-D23</f>
        <v>1500</v>
      </c>
      <c r="Z23" s="1634">
        <f>R23-E23</f>
        <v>19500</v>
      </c>
      <c r="AA23" s="1634">
        <f>S23-F23</f>
        <v>0</v>
      </c>
      <c r="AB23" s="456"/>
      <c r="AC23" s="1634">
        <f>U23-H23</f>
        <v>0</v>
      </c>
      <c r="AD23" s="1635">
        <f>V23-I23</f>
        <v>0</v>
      </c>
    </row>
    <row r="24" spans="1:54" ht="15" x14ac:dyDescent="0.25">
      <c r="A24" s="252"/>
      <c r="B24" s="223" t="s">
        <v>399</v>
      </c>
      <c r="C24" s="224"/>
      <c r="D24" s="224"/>
      <c r="E24" s="225"/>
      <c r="F24" s="225"/>
      <c r="G24" s="194"/>
      <c r="H24" s="400"/>
      <c r="I24" s="397"/>
      <c r="N24" s="252"/>
      <c r="O24" s="223" t="s">
        <v>399</v>
      </c>
      <c r="P24" s="224"/>
      <c r="Q24" s="224"/>
      <c r="R24" s="225"/>
      <c r="S24" s="225"/>
      <c r="T24" s="194"/>
      <c r="U24" s="400"/>
      <c r="V24" s="397"/>
      <c r="X24" s="1634">
        <f t="shared" ref="X24:X31" si="5">P24-C24</f>
        <v>0</v>
      </c>
      <c r="Y24" s="1634">
        <f t="shared" ref="Y24:Y31" si="6">Q24-D24</f>
        <v>0</v>
      </c>
      <c r="Z24" s="1634">
        <f t="shared" ref="Z24:Z31" si="7">R24-E24</f>
        <v>0</v>
      </c>
      <c r="AA24" s="1634">
        <f t="shared" ref="AA24:AA31" si="8">S24-F24</f>
        <v>0</v>
      </c>
      <c r="AB24" s="456"/>
      <c r="AC24" s="1634">
        <f t="shared" ref="AC24:AC31" si="9">U24-H24</f>
        <v>0</v>
      </c>
      <c r="AD24" s="1634">
        <f t="shared" ref="AD24:AD31" si="10">V24-I24</f>
        <v>0</v>
      </c>
      <c r="AW24" s="91">
        <f>E26</f>
        <v>3800</v>
      </c>
    </row>
    <row r="25" spans="1:54" ht="15" x14ac:dyDescent="0.25">
      <c r="A25" s="252"/>
      <c r="B25" s="226" t="s">
        <v>116</v>
      </c>
      <c r="C25" s="222">
        <v>5</v>
      </c>
      <c r="D25" s="222">
        <v>300</v>
      </c>
      <c r="E25" s="222">
        <f>D25*C25</f>
        <v>1500</v>
      </c>
      <c r="F25" s="222"/>
      <c r="G25" s="194"/>
      <c r="H25" s="400"/>
      <c r="I25" s="397"/>
      <c r="N25" s="252"/>
      <c r="O25" s="226" t="s">
        <v>116</v>
      </c>
      <c r="P25" s="222">
        <v>5</v>
      </c>
      <c r="Q25" s="222">
        <v>300</v>
      </c>
      <c r="R25" s="222">
        <f>Q25*P25</f>
        <v>1500</v>
      </c>
      <c r="S25" s="222"/>
      <c r="T25" s="194"/>
      <c r="U25" s="400"/>
      <c r="V25" s="397"/>
      <c r="X25" s="1634">
        <f t="shared" si="5"/>
        <v>0</v>
      </c>
      <c r="Y25" s="1634">
        <f t="shared" si="6"/>
        <v>0</v>
      </c>
      <c r="Z25" s="1634">
        <f t="shared" si="7"/>
        <v>0</v>
      </c>
      <c r="AA25" s="1634">
        <f t="shared" si="8"/>
        <v>0</v>
      </c>
      <c r="AB25" s="456"/>
      <c r="AC25" s="1634">
        <f t="shared" si="9"/>
        <v>0</v>
      </c>
      <c r="AD25" s="1634">
        <f t="shared" si="10"/>
        <v>0</v>
      </c>
      <c r="AS25" s="91">
        <f>E27</f>
        <v>8170</v>
      </c>
    </row>
    <row r="26" spans="1:54" ht="15" x14ac:dyDescent="0.25">
      <c r="A26" s="252"/>
      <c r="B26" s="226" t="s">
        <v>462</v>
      </c>
      <c r="C26" s="222">
        <v>50</v>
      </c>
      <c r="D26" s="222">
        <f>20*$J$1</f>
        <v>76</v>
      </c>
      <c r="E26" s="222">
        <f>D26*C26</f>
        <v>3800</v>
      </c>
      <c r="F26" s="222"/>
      <c r="G26" s="194"/>
      <c r="H26" s="400"/>
      <c r="I26" s="397"/>
      <c r="N26" s="252"/>
      <c r="O26" s="226" t="s">
        <v>462</v>
      </c>
      <c r="P26" s="222">
        <v>50</v>
      </c>
      <c r="Q26" s="222">
        <f>20*$J$1</f>
        <v>76</v>
      </c>
      <c r="R26" s="222">
        <f>Q26*P26</f>
        <v>3800</v>
      </c>
      <c r="S26" s="222"/>
      <c r="T26" s="194"/>
      <c r="U26" s="400"/>
      <c r="V26" s="397"/>
      <c r="X26" s="1634">
        <f t="shared" si="5"/>
        <v>0</v>
      </c>
      <c r="Y26" s="1634">
        <f t="shared" si="6"/>
        <v>0</v>
      </c>
      <c r="Z26" s="1634">
        <f t="shared" si="7"/>
        <v>0</v>
      </c>
      <c r="AA26" s="1634">
        <f t="shared" si="8"/>
        <v>0</v>
      </c>
      <c r="AB26" s="456"/>
      <c r="AC26" s="1634">
        <f t="shared" si="9"/>
        <v>0</v>
      </c>
      <c r="AD26" s="1634">
        <f t="shared" si="10"/>
        <v>0</v>
      </c>
    </row>
    <row r="27" spans="1:54" ht="28.5" x14ac:dyDescent="0.25">
      <c r="A27" s="252"/>
      <c r="B27" s="226" t="s">
        <v>463</v>
      </c>
      <c r="C27" s="222">
        <v>50</v>
      </c>
      <c r="D27" s="222">
        <f>43*$J$1</f>
        <v>163.4</v>
      </c>
      <c r="E27" s="222">
        <f>D27*C27</f>
        <v>8170</v>
      </c>
      <c r="F27" s="222"/>
      <c r="G27" s="194"/>
      <c r="H27" s="400"/>
      <c r="I27" s="397"/>
      <c r="N27" s="252"/>
      <c r="O27" s="226" t="s">
        <v>463</v>
      </c>
      <c r="P27" s="222">
        <v>50</v>
      </c>
      <c r="Q27" s="222">
        <f>43*$J$1</f>
        <v>163.4</v>
      </c>
      <c r="R27" s="222">
        <f>Q27*P27</f>
        <v>8170</v>
      </c>
      <c r="S27" s="222"/>
      <c r="T27" s="194"/>
      <c r="U27" s="400"/>
      <c r="V27" s="397"/>
      <c r="X27" s="1634">
        <f t="shared" si="5"/>
        <v>0</v>
      </c>
      <c r="Y27" s="1634">
        <f t="shared" si="6"/>
        <v>0</v>
      </c>
      <c r="Z27" s="1634">
        <f t="shared" si="7"/>
        <v>0</v>
      </c>
      <c r="AA27" s="1634">
        <f t="shared" si="8"/>
        <v>0</v>
      </c>
      <c r="AB27" s="456"/>
      <c r="AC27" s="1634">
        <f t="shared" si="9"/>
        <v>0</v>
      </c>
      <c r="AD27" s="1634">
        <f t="shared" si="10"/>
        <v>0</v>
      </c>
      <c r="AN27" s="91">
        <f>E29</f>
        <v>6840</v>
      </c>
      <c r="AO27" s="91"/>
      <c r="AP27" s="91"/>
    </row>
    <row r="28" spans="1:54" ht="15" x14ac:dyDescent="0.25">
      <c r="A28" s="252"/>
      <c r="B28" s="223" t="s">
        <v>119</v>
      </c>
      <c r="C28" s="219"/>
      <c r="D28" s="219"/>
      <c r="E28" s="220"/>
      <c r="F28" s="220"/>
      <c r="G28" s="194"/>
      <c r="H28" s="400"/>
      <c r="I28" s="397"/>
      <c r="N28" s="252"/>
      <c r="O28" s="223" t="s">
        <v>119</v>
      </c>
      <c r="P28" s="219"/>
      <c r="Q28" s="219"/>
      <c r="R28" s="220"/>
      <c r="S28" s="220"/>
      <c r="T28" s="194"/>
      <c r="U28" s="400"/>
      <c r="V28" s="397"/>
      <c r="X28" s="1634">
        <f t="shared" si="5"/>
        <v>0</v>
      </c>
      <c r="Y28" s="1634">
        <f t="shared" si="6"/>
        <v>0</v>
      </c>
      <c r="Z28" s="1634">
        <f t="shared" si="7"/>
        <v>0</v>
      </c>
      <c r="AA28" s="1634">
        <f t="shared" si="8"/>
        <v>0</v>
      </c>
      <c r="AB28" s="456"/>
      <c r="AC28" s="1634">
        <f t="shared" si="9"/>
        <v>0</v>
      </c>
      <c r="AD28" s="1634">
        <f t="shared" si="10"/>
        <v>0</v>
      </c>
      <c r="AN28" s="91"/>
      <c r="AO28" s="91">
        <f>(180*5)*$J$1*C30</f>
        <v>3420</v>
      </c>
      <c r="AP28" s="91">
        <f>(60*6)*$J$1*C30</f>
        <v>1368</v>
      </c>
      <c r="AW28" s="91">
        <f>(250)*$J$1*C30</f>
        <v>950</v>
      </c>
    </row>
    <row r="29" spans="1:54" ht="15" x14ac:dyDescent="0.25">
      <c r="A29" s="252"/>
      <c r="B29" s="221" t="s">
        <v>606</v>
      </c>
      <c r="C29" s="222">
        <v>1</v>
      </c>
      <c r="D29" s="222">
        <f>1800*$J$1</f>
        <v>6840</v>
      </c>
      <c r="E29" s="222">
        <f>D29*C29</f>
        <v>6840</v>
      </c>
      <c r="F29" s="222"/>
      <c r="G29" s="194"/>
      <c r="H29" s="400"/>
      <c r="I29" s="397"/>
      <c r="N29" s="252"/>
      <c r="O29" s="221" t="s">
        <v>606</v>
      </c>
      <c r="P29" s="222">
        <v>1</v>
      </c>
      <c r="Q29" s="222">
        <f>1800*$J$1</f>
        <v>6840</v>
      </c>
      <c r="R29" s="222">
        <f>Q29*P29</f>
        <v>6840</v>
      </c>
      <c r="S29" s="222"/>
      <c r="T29" s="194"/>
      <c r="U29" s="400"/>
      <c r="V29" s="397"/>
      <c r="X29" s="1634">
        <f t="shared" si="5"/>
        <v>0</v>
      </c>
      <c r="Y29" s="1634">
        <f t="shared" si="6"/>
        <v>0</v>
      </c>
      <c r="Z29" s="1634">
        <f t="shared" si="7"/>
        <v>0</v>
      </c>
      <c r="AA29" s="1634">
        <f t="shared" si="8"/>
        <v>0</v>
      </c>
      <c r="AB29" s="456"/>
      <c r="AC29" s="1634">
        <f t="shared" si="9"/>
        <v>0</v>
      </c>
      <c r="AD29" s="1634">
        <f t="shared" si="10"/>
        <v>0</v>
      </c>
      <c r="BB29" s="91">
        <f>E31</f>
        <v>15750</v>
      </c>
    </row>
    <row r="30" spans="1:54" s="208" customFormat="1" ht="28.5" x14ac:dyDescent="0.25">
      <c r="A30" s="252"/>
      <c r="B30" s="221" t="s">
        <v>428</v>
      </c>
      <c r="C30" s="222">
        <v>1</v>
      </c>
      <c r="D30" s="222">
        <f>(60*6+180*5+250)*$J$1</f>
        <v>5738</v>
      </c>
      <c r="E30" s="222">
        <f>D30*C30</f>
        <v>5738</v>
      </c>
      <c r="F30" s="222"/>
      <c r="G30" s="194"/>
      <c r="H30" s="400"/>
      <c r="I30" s="397"/>
      <c r="J30" s="205"/>
      <c r="K30" s="205"/>
      <c r="L30" s="205"/>
      <c r="M30" s="205"/>
      <c r="N30" s="252"/>
      <c r="O30" s="221" t="s">
        <v>428</v>
      </c>
      <c r="P30" s="222">
        <v>1</v>
      </c>
      <c r="Q30" s="222">
        <f>(60*6+180*5+250)*$J$1</f>
        <v>5738</v>
      </c>
      <c r="R30" s="222">
        <f>Q30*P30</f>
        <v>5738</v>
      </c>
      <c r="S30" s="222"/>
      <c r="T30" s="194"/>
      <c r="U30" s="400"/>
      <c r="V30" s="397"/>
      <c r="W30" s="205"/>
      <c r="X30" s="1634">
        <f t="shared" si="5"/>
        <v>0</v>
      </c>
      <c r="Y30" s="1634">
        <f t="shared" si="6"/>
        <v>0</v>
      </c>
      <c r="Z30" s="1634">
        <f t="shared" si="7"/>
        <v>0</v>
      </c>
      <c r="AA30" s="1634">
        <f t="shared" si="8"/>
        <v>0</v>
      </c>
      <c r="AB30" s="456"/>
      <c r="AC30" s="1634">
        <f t="shared" si="9"/>
        <v>0</v>
      </c>
      <c r="AD30" s="1634">
        <f t="shared" si="10"/>
        <v>0</v>
      </c>
      <c r="AE30" s="205"/>
      <c r="AF30" s="205"/>
      <c r="AG30" s="205"/>
      <c r="AH30" s="205"/>
      <c r="AI30" s="205"/>
      <c r="AJ30" s="205"/>
      <c r="AK30" s="205"/>
      <c r="AL30" s="205"/>
      <c r="AM30" s="205"/>
      <c r="AN30" s="205"/>
      <c r="AO30" s="205"/>
      <c r="AP30" s="205"/>
      <c r="AQ30" s="205"/>
    </row>
    <row r="31" spans="1:54" ht="28.5" x14ac:dyDescent="0.25">
      <c r="A31" s="252"/>
      <c r="B31" s="221" t="s">
        <v>429</v>
      </c>
      <c r="C31" s="222">
        <v>45</v>
      </c>
      <c r="D31" s="222">
        <v>350</v>
      </c>
      <c r="E31" s="222">
        <f>D31*C31</f>
        <v>15750</v>
      </c>
      <c r="F31" s="222"/>
      <c r="G31" s="194"/>
      <c r="H31" s="400"/>
      <c r="I31" s="397"/>
      <c r="N31" s="252"/>
      <c r="O31" s="221" t="s">
        <v>429</v>
      </c>
      <c r="P31" s="222">
        <v>45</v>
      </c>
      <c r="Q31" s="222">
        <v>350</v>
      </c>
      <c r="R31" s="222">
        <f>Q31*P31</f>
        <v>15750</v>
      </c>
      <c r="S31" s="222"/>
      <c r="T31" s="194"/>
      <c r="U31" s="400"/>
      <c r="V31" s="397"/>
      <c r="X31" s="1634">
        <f t="shared" si="5"/>
        <v>0</v>
      </c>
      <c r="Y31" s="1634">
        <f t="shared" si="6"/>
        <v>0</v>
      </c>
      <c r="Z31" s="1634">
        <f t="shared" si="7"/>
        <v>0</v>
      </c>
      <c r="AA31" s="1634">
        <f t="shared" si="8"/>
        <v>0</v>
      </c>
      <c r="AB31" s="456"/>
      <c r="AC31" s="1634">
        <f t="shared" si="9"/>
        <v>0</v>
      </c>
      <c r="AD31" s="1634">
        <f t="shared" si="10"/>
        <v>0</v>
      </c>
    </row>
    <row r="32" spans="1:54" ht="15" x14ac:dyDescent="0.25">
      <c r="A32" s="252"/>
      <c r="B32" s="373" t="s">
        <v>13</v>
      </c>
      <c r="C32" s="196"/>
      <c r="D32" s="197"/>
      <c r="E32" s="197">
        <f>SUM(E19:E31)</f>
        <v>247071</v>
      </c>
      <c r="F32" s="197"/>
      <c r="G32" s="194"/>
      <c r="H32" s="197">
        <f>SUM(H19:H31)</f>
        <v>0</v>
      </c>
      <c r="I32" s="228">
        <f>SUM(I19:I31)</f>
        <v>0</v>
      </c>
      <c r="N32" s="252"/>
      <c r="O32" s="373" t="s">
        <v>13</v>
      </c>
      <c r="P32" s="196"/>
      <c r="Q32" s="197"/>
      <c r="R32" s="197">
        <f>SUM(R19:R31)</f>
        <v>266648</v>
      </c>
      <c r="S32" s="197"/>
      <c r="T32" s="194"/>
      <c r="U32" s="197">
        <f>SUM(U19:U31)</f>
        <v>0</v>
      </c>
      <c r="V32" s="228">
        <f>SUM(V19:V31)</f>
        <v>0</v>
      </c>
      <c r="X32" s="461"/>
      <c r="Y32" s="461"/>
      <c r="Z32" s="197">
        <f>SUM(Z19:Z31)</f>
        <v>19577</v>
      </c>
      <c r="AA32" s="197">
        <f>SUM(AA19:AA31)</f>
        <v>0</v>
      </c>
      <c r="AB32" s="197">
        <f>SUM(AB19:AB31)</f>
        <v>0</v>
      </c>
      <c r="AC32" s="197">
        <f>SUM(AC19:AC31)</f>
        <v>0</v>
      </c>
      <c r="AD32" s="197">
        <f>SUM(AD19:AD31)</f>
        <v>0</v>
      </c>
    </row>
    <row r="33" spans="1:56" ht="15" thickBot="1" x14ac:dyDescent="0.25">
      <c r="A33" s="282"/>
      <c r="B33" s="3346" t="s">
        <v>430</v>
      </c>
      <c r="C33" s="3346"/>
      <c r="D33" s="3346"/>
      <c r="E33" s="3346"/>
      <c r="F33" s="3346"/>
      <c r="G33" s="3346"/>
      <c r="H33" s="3346"/>
      <c r="I33" s="3347"/>
      <c r="N33" s="282"/>
      <c r="O33" s="3346" t="s">
        <v>430</v>
      </c>
      <c r="P33" s="3346"/>
      <c r="Q33" s="3346"/>
      <c r="R33" s="3346"/>
      <c r="S33" s="3346"/>
      <c r="T33" s="3346"/>
      <c r="U33" s="3346"/>
      <c r="V33" s="3347"/>
    </row>
    <row r="34" spans="1:56" ht="15" thickBot="1" x14ac:dyDescent="0.25">
      <c r="B34" s="202"/>
      <c r="C34" s="202"/>
      <c r="D34" s="202"/>
      <c r="E34" s="202"/>
      <c r="F34" s="202"/>
      <c r="G34" s="202"/>
      <c r="H34" s="202"/>
      <c r="I34" s="202"/>
    </row>
    <row r="35" spans="1:56" ht="15" customHeight="1" x14ac:dyDescent="0.25">
      <c r="A35" s="369">
        <v>3</v>
      </c>
      <c r="B35" s="241" t="s">
        <v>62</v>
      </c>
      <c r="C35" s="610" t="s">
        <v>410</v>
      </c>
      <c r="D35" s="610"/>
      <c r="E35" s="610"/>
      <c r="F35" s="610"/>
      <c r="G35" s="230"/>
      <c r="H35" s="611" t="s">
        <v>88</v>
      </c>
      <c r="I35" s="612"/>
      <c r="J35" s="205"/>
      <c r="N35" s="182">
        <v>3</v>
      </c>
      <c r="O35" s="241" t="s">
        <v>62</v>
      </c>
      <c r="P35" s="613" t="s">
        <v>601</v>
      </c>
      <c r="Q35" s="614"/>
      <c r="R35" s="615"/>
      <c r="S35" s="610"/>
      <c r="T35" s="230"/>
      <c r="U35" s="616" t="s">
        <v>88</v>
      </c>
      <c r="V35" s="617"/>
      <c r="X35" s="610" t="s">
        <v>506</v>
      </c>
      <c r="Y35" s="610"/>
      <c r="Z35" s="610"/>
      <c r="AA35" s="610"/>
      <c r="AB35" s="451"/>
      <c r="AC35" s="611" t="s">
        <v>88</v>
      </c>
      <c r="AD35" s="612"/>
    </row>
    <row r="36" spans="1:56" ht="60" x14ac:dyDescent="0.25">
      <c r="A36" s="371"/>
      <c r="B36" s="187" t="s">
        <v>89</v>
      </c>
      <c r="C36" s="187" t="s">
        <v>54</v>
      </c>
      <c r="D36" s="186" t="s">
        <v>91</v>
      </c>
      <c r="E36" s="186" t="s">
        <v>92</v>
      </c>
      <c r="F36" s="186"/>
      <c r="G36" s="194"/>
      <c r="H36" s="187" t="s">
        <v>54</v>
      </c>
      <c r="I36" s="188" t="s">
        <v>92</v>
      </c>
      <c r="N36" s="371"/>
      <c r="O36" s="187" t="s">
        <v>89</v>
      </c>
      <c r="P36" s="186" t="s">
        <v>54</v>
      </c>
      <c r="Q36" s="186" t="s">
        <v>91</v>
      </c>
      <c r="R36" s="186" t="s">
        <v>92</v>
      </c>
      <c r="S36" s="186"/>
      <c r="T36" s="194"/>
      <c r="U36" s="187" t="s">
        <v>54</v>
      </c>
      <c r="V36" s="188" t="s">
        <v>92</v>
      </c>
      <c r="X36" s="453" t="s">
        <v>90</v>
      </c>
      <c r="Y36" s="453" t="s">
        <v>91</v>
      </c>
      <c r="Z36" s="453" t="s">
        <v>507</v>
      </c>
      <c r="AA36" s="453"/>
      <c r="AB36" s="454"/>
      <c r="AC36" s="452" t="s">
        <v>54</v>
      </c>
      <c r="AD36" s="455" t="s">
        <v>507</v>
      </c>
      <c r="AN36" s="91">
        <f>E38</f>
        <v>38000</v>
      </c>
      <c r="AO36" s="91"/>
      <c r="AP36" s="91"/>
    </row>
    <row r="37" spans="1:56" ht="15" x14ac:dyDescent="0.25">
      <c r="A37" s="252"/>
      <c r="B37" s="404" t="s">
        <v>464</v>
      </c>
      <c r="C37" s="425">
        <v>5</v>
      </c>
      <c r="D37" s="401"/>
      <c r="E37" s="231"/>
      <c r="F37" s="231"/>
      <c r="G37" s="5"/>
      <c r="H37" s="304"/>
      <c r="I37" s="310"/>
      <c r="N37" s="252"/>
      <c r="O37" s="404" t="s">
        <v>464</v>
      </c>
      <c r="P37" s="425">
        <v>5</v>
      </c>
      <c r="Q37" s="401"/>
      <c r="R37" s="231"/>
      <c r="S37" s="68"/>
      <c r="T37" s="5"/>
      <c r="U37" s="304"/>
      <c r="V37" s="310"/>
      <c r="X37" s="1634">
        <f t="shared" ref="X37:AA40" si="11">P37-C37</f>
        <v>0</v>
      </c>
      <c r="Y37" s="1634">
        <f t="shared" si="11"/>
        <v>0</v>
      </c>
      <c r="Z37" s="1634">
        <f t="shared" si="11"/>
        <v>0</v>
      </c>
      <c r="AA37" s="1634">
        <f t="shared" si="11"/>
        <v>0</v>
      </c>
      <c r="AB37" s="456"/>
      <c r="AC37" s="1634">
        <f t="shared" ref="AC37:AD40" si="12">U37-H37</f>
        <v>0</v>
      </c>
      <c r="AD37" s="1634">
        <f t="shared" si="12"/>
        <v>0</v>
      </c>
      <c r="AN37" s="91">
        <f>E39</f>
        <v>72200</v>
      </c>
      <c r="AO37" s="91"/>
      <c r="AP37" s="91"/>
    </row>
    <row r="38" spans="1:56" x14ac:dyDescent="0.2">
      <c r="A38" s="252"/>
      <c r="B38" s="226" t="s">
        <v>437</v>
      </c>
      <c r="C38" s="380">
        <v>5</v>
      </c>
      <c r="D38" s="381">
        <f>2000*$J$1</f>
        <v>7600</v>
      </c>
      <c r="E38" s="380">
        <f>+D38*C38</f>
        <v>38000</v>
      </c>
      <c r="F38" s="380"/>
      <c r="G38" s="5"/>
      <c r="H38" s="304"/>
      <c r="I38" s="310"/>
      <c r="N38" s="252"/>
      <c r="O38" s="226" t="s">
        <v>437</v>
      </c>
      <c r="P38" s="380">
        <v>5</v>
      </c>
      <c r="Q38" s="381">
        <f>2000*J1</f>
        <v>7600</v>
      </c>
      <c r="R38" s="380">
        <f>+Q38*P38</f>
        <v>38000</v>
      </c>
      <c r="S38" s="68"/>
      <c r="T38" s="5"/>
      <c r="U38" s="304"/>
      <c r="V38" s="310"/>
      <c r="X38" s="1634">
        <f t="shared" si="11"/>
        <v>0</v>
      </c>
      <c r="Y38" s="1634">
        <f t="shared" si="11"/>
        <v>0</v>
      </c>
      <c r="Z38" s="1634">
        <f t="shared" si="11"/>
        <v>0</v>
      </c>
      <c r="AA38" s="1634">
        <f t="shared" si="11"/>
        <v>0</v>
      </c>
      <c r="AB38" s="456"/>
      <c r="AC38" s="1634">
        <f t="shared" si="12"/>
        <v>0</v>
      </c>
      <c r="AD38" s="1634">
        <f t="shared" si="12"/>
        <v>0</v>
      </c>
      <c r="AU38" s="91">
        <f>E40</f>
        <v>44000</v>
      </c>
    </row>
    <row r="39" spans="1:56" ht="28.5" x14ac:dyDescent="0.2">
      <c r="A39" s="252"/>
      <c r="B39" s="226" t="s">
        <v>465</v>
      </c>
      <c r="C39" s="380">
        <v>50</v>
      </c>
      <c r="D39" s="381">
        <f>+(150+180+50)*$J$1</f>
        <v>1444</v>
      </c>
      <c r="E39" s="380">
        <f>+D39*C39</f>
        <v>72200</v>
      </c>
      <c r="F39" s="380"/>
      <c r="G39" s="5"/>
      <c r="H39" s="304"/>
      <c r="I39" s="310"/>
      <c r="N39" s="252"/>
      <c r="O39" s="226" t="s">
        <v>604</v>
      </c>
      <c r="P39" s="380">
        <v>50</v>
      </c>
      <c r="Q39" s="381">
        <f>+(150+180+50)*$J$1</f>
        <v>1444</v>
      </c>
      <c r="R39" s="380">
        <f>+Q39*P39</f>
        <v>72200</v>
      </c>
      <c r="S39" s="68"/>
      <c r="T39" s="5"/>
      <c r="U39" s="304"/>
      <c r="V39" s="310"/>
      <c r="X39" s="1634">
        <f t="shared" si="11"/>
        <v>0</v>
      </c>
      <c r="Y39" s="1634">
        <f t="shared" si="11"/>
        <v>0</v>
      </c>
      <c r="Z39" s="1634">
        <f t="shared" si="11"/>
        <v>0</v>
      </c>
      <c r="AA39" s="1634">
        <f t="shared" si="11"/>
        <v>0</v>
      </c>
      <c r="AB39" s="456"/>
      <c r="AC39" s="1634">
        <f t="shared" si="12"/>
        <v>0</v>
      </c>
      <c r="AD39" s="1634">
        <f t="shared" si="12"/>
        <v>0</v>
      </c>
      <c r="BC39" s="91" t="e">
        <f>#REF!</f>
        <v>#REF!</v>
      </c>
    </row>
    <row r="40" spans="1:56" ht="42.75" x14ac:dyDescent="0.2">
      <c r="A40" s="252"/>
      <c r="B40" s="226" t="s">
        <v>830</v>
      </c>
      <c r="C40" s="381">
        <v>5</v>
      </c>
      <c r="D40" s="381">
        <f>5000+3800</f>
        <v>8800</v>
      </c>
      <c r="E40" s="381">
        <f>D40*C40</f>
        <v>44000</v>
      </c>
      <c r="F40" s="426"/>
      <c r="G40" s="5"/>
      <c r="H40" s="304"/>
      <c r="I40" s="310"/>
      <c r="N40" s="252"/>
      <c r="O40" s="226" t="s">
        <v>830</v>
      </c>
      <c r="P40" s="381">
        <v>5</v>
      </c>
      <c r="Q40" s="381">
        <f>5000+3800</f>
        <v>8800</v>
      </c>
      <c r="R40" s="426">
        <f>Q40*P40</f>
        <v>44000</v>
      </c>
      <c r="S40" s="68"/>
      <c r="T40" s="5"/>
      <c r="U40" s="304"/>
      <c r="V40" s="310"/>
      <c r="X40" s="1634">
        <f t="shared" si="11"/>
        <v>0</v>
      </c>
      <c r="Y40" s="1634">
        <f t="shared" si="11"/>
        <v>0</v>
      </c>
      <c r="Z40" s="1634">
        <f t="shared" si="11"/>
        <v>0</v>
      </c>
      <c r="AA40" s="1634">
        <f t="shared" si="11"/>
        <v>0</v>
      </c>
      <c r="AB40" s="456"/>
      <c r="AC40" s="1634">
        <f t="shared" si="12"/>
        <v>0</v>
      </c>
      <c r="AD40" s="1634">
        <f t="shared" si="12"/>
        <v>0</v>
      </c>
    </row>
    <row r="41" spans="1:56" ht="15.75" thickBot="1" x14ac:dyDescent="0.3">
      <c r="A41" s="282"/>
      <c r="B41" s="384" t="s">
        <v>13</v>
      </c>
      <c r="C41" s="234"/>
      <c r="D41" s="234"/>
      <c r="E41" s="235">
        <f>SUM(E37:E40)</f>
        <v>154200</v>
      </c>
      <c r="F41" s="235"/>
      <c r="G41" s="7"/>
      <c r="H41" s="235"/>
      <c r="I41" s="238"/>
      <c r="N41" s="282"/>
      <c r="O41" s="384" t="s">
        <v>13</v>
      </c>
      <c r="P41" s="301"/>
      <c r="Q41" s="301"/>
      <c r="R41" s="302">
        <f>SUM(R38:R40)</f>
        <v>154200</v>
      </c>
      <c r="S41" s="302"/>
      <c r="T41" s="7"/>
      <c r="U41" s="235"/>
      <c r="V41" s="238"/>
      <c r="X41" s="461"/>
      <c r="Y41" s="461"/>
      <c r="Z41" s="197">
        <f>SUM(Z38:Z40)</f>
        <v>0</v>
      </c>
      <c r="AA41" s="197">
        <f>SUM(AA38:AA40)</f>
        <v>0</v>
      </c>
      <c r="AB41" s="197">
        <f>SUM(AB38:AB40)</f>
        <v>0</v>
      </c>
      <c r="AC41" s="197">
        <f>SUM(AC38:AC40)</f>
        <v>0</v>
      </c>
      <c r="AD41" s="197">
        <f>SUM(AD38:AD40)</f>
        <v>0</v>
      </c>
    </row>
    <row r="42" spans="1:56" ht="15" x14ac:dyDescent="0.25">
      <c r="B42" s="406" t="s">
        <v>466</v>
      </c>
      <c r="C42" s="203"/>
      <c r="D42" s="203"/>
      <c r="E42" s="204">
        <f>[2]ברזיל!$E$49-E41</f>
        <v>0</v>
      </c>
      <c r="F42" s="204"/>
      <c r="G42" s="205"/>
      <c r="H42" s="206"/>
      <c r="I42" s="207"/>
      <c r="O42" s="562"/>
      <c r="R42" s="91"/>
    </row>
    <row r="43" spans="1:56" ht="15.75" thickBot="1" x14ac:dyDescent="0.3">
      <c r="B43" s="427" t="s">
        <v>467</v>
      </c>
      <c r="C43" s="203"/>
      <c r="D43" s="203"/>
      <c r="E43" s="204"/>
      <c r="F43" s="204"/>
      <c r="G43" s="205"/>
      <c r="H43" s="206"/>
      <c r="I43" s="207"/>
      <c r="X43" s="44"/>
      <c r="Y43" s="44"/>
      <c r="Z43" s="44"/>
      <c r="AA43" s="44"/>
      <c r="AB43" s="44"/>
      <c r="AC43" s="44"/>
      <c r="AD43" s="44"/>
    </row>
    <row r="44" spans="1:56" ht="30" x14ac:dyDescent="0.25">
      <c r="A44" s="369">
        <v>4</v>
      </c>
      <c r="B44" s="241" t="s">
        <v>63</v>
      </c>
      <c r="C44" s="3271" t="s">
        <v>410</v>
      </c>
      <c r="D44" s="3271"/>
      <c r="E44" s="3271"/>
      <c r="F44" s="610"/>
      <c r="G44" s="230"/>
      <c r="H44" s="3272" t="s">
        <v>88</v>
      </c>
      <c r="I44" s="3273"/>
      <c r="J44" s="205"/>
      <c r="N44" s="182">
        <v>4</v>
      </c>
      <c r="O44" s="241" t="s">
        <v>63</v>
      </c>
      <c r="P44" s="3274" t="s">
        <v>601</v>
      </c>
      <c r="Q44" s="3275"/>
      <c r="R44" s="3276"/>
      <c r="S44" s="610"/>
      <c r="T44" s="230"/>
      <c r="U44" s="3282" t="s">
        <v>88</v>
      </c>
      <c r="V44" s="3283"/>
      <c r="X44" s="3271" t="s">
        <v>506</v>
      </c>
      <c r="Y44" s="3271"/>
      <c r="Z44" s="3271"/>
      <c r="AA44" s="610"/>
      <c r="AB44" s="451"/>
      <c r="AC44" s="3272" t="s">
        <v>88</v>
      </c>
      <c r="AD44" s="3273"/>
    </row>
    <row r="45" spans="1:56" s="44" customFormat="1" ht="60" x14ac:dyDescent="0.25">
      <c r="A45" s="371"/>
      <c r="B45" s="187" t="s">
        <v>89</v>
      </c>
      <c r="C45" s="187" t="s">
        <v>54</v>
      </c>
      <c r="D45" s="186" t="s">
        <v>91</v>
      </c>
      <c r="E45" s="186" t="s">
        <v>105</v>
      </c>
      <c r="F45" s="186" t="s">
        <v>106</v>
      </c>
      <c r="G45" s="194"/>
      <c r="H45" s="187" t="s">
        <v>54</v>
      </c>
      <c r="I45" s="188" t="s">
        <v>92</v>
      </c>
      <c r="N45" s="371"/>
      <c r="O45" s="187" t="s">
        <v>89</v>
      </c>
      <c r="P45" s="186" t="s">
        <v>54</v>
      </c>
      <c r="Q45" s="186" t="s">
        <v>91</v>
      </c>
      <c r="R45" s="186" t="s">
        <v>105</v>
      </c>
      <c r="S45" s="186" t="s">
        <v>106</v>
      </c>
      <c r="T45" s="194"/>
      <c r="U45" s="187" t="s">
        <v>54</v>
      </c>
      <c r="V45" s="188" t="s">
        <v>92</v>
      </c>
      <c r="X45" s="547" t="s">
        <v>90</v>
      </c>
      <c r="Y45" s="453" t="s">
        <v>91</v>
      </c>
      <c r="Z45" s="453" t="s">
        <v>507</v>
      </c>
      <c r="AA45" s="453"/>
      <c r="AB45" s="454"/>
      <c r="AC45" s="452" t="s">
        <v>54</v>
      </c>
      <c r="AD45" s="455" t="s">
        <v>507</v>
      </c>
      <c r="AR45" s="442">
        <f>E47</f>
        <v>96900</v>
      </c>
    </row>
    <row r="46" spans="1:56" s="208" customFormat="1" ht="15" x14ac:dyDescent="0.25">
      <c r="A46" s="252"/>
      <c r="B46" s="190" t="s">
        <v>431</v>
      </c>
      <c r="C46" s="190">
        <v>0.6</v>
      </c>
      <c r="D46" s="190"/>
      <c r="E46" s="190"/>
      <c r="F46" s="190"/>
      <c r="G46" s="194"/>
      <c r="H46" s="428" t="s">
        <v>468</v>
      </c>
      <c r="I46" s="397"/>
      <c r="J46" s="205"/>
      <c r="K46" s="205"/>
      <c r="L46" s="205"/>
      <c r="M46" s="205"/>
      <c r="N46" s="252"/>
      <c r="O46" s="190" t="s">
        <v>431</v>
      </c>
      <c r="P46" s="1567">
        <v>0.6</v>
      </c>
      <c r="Q46" s="190"/>
      <c r="R46" s="190"/>
      <c r="S46" s="190"/>
      <c r="T46" s="194"/>
      <c r="U46" s="428" t="s">
        <v>468</v>
      </c>
      <c r="V46" s="397"/>
      <c r="W46" s="205"/>
      <c r="X46" s="1633">
        <f t="shared" ref="X46:AA48" si="13">P46-C46</f>
        <v>0</v>
      </c>
      <c r="Y46" s="1634">
        <f t="shared" si="13"/>
        <v>0</v>
      </c>
      <c r="Z46" s="1634">
        <f t="shared" si="13"/>
        <v>0</v>
      </c>
      <c r="AA46" s="1634">
        <f t="shared" si="13"/>
        <v>0</v>
      </c>
      <c r="AB46" s="456"/>
      <c r="AC46" s="1634"/>
      <c r="AD46" s="1635">
        <f>V46-I46</f>
        <v>0</v>
      </c>
      <c r="AE46" s="205"/>
      <c r="AF46" s="205"/>
      <c r="AG46" s="205"/>
      <c r="AH46" s="205"/>
      <c r="AI46" s="205"/>
      <c r="AJ46" s="205"/>
      <c r="AK46" s="205"/>
      <c r="AL46" s="205"/>
      <c r="AM46" s="205"/>
      <c r="AN46" s="205"/>
      <c r="AO46" s="205"/>
      <c r="AP46" s="205"/>
      <c r="AQ46" s="205"/>
      <c r="BD46" s="443">
        <f>E48</f>
        <v>6120</v>
      </c>
    </row>
    <row r="47" spans="1:56" s="208" customFormat="1" ht="15" x14ac:dyDescent="0.25">
      <c r="A47" s="252"/>
      <c r="B47" s="221" t="s">
        <v>469</v>
      </c>
      <c r="C47" s="225">
        <v>12</v>
      </c>
      <c r="D47" s="429">
        <f>50000*$J$1/12*0.6</f>
        <v>9500</v>
      </c>
      <c r="E47" s="430">
        <f>0.85*D47*C47</f>
        <v>96900</v>
      </c>
      <c r="F47" s="430">
        <f>D47*C47*0.15</f>
        <v>17100</v>
      </c>
      <c r="G47" s="194"/>
      <c r="H47" s="400"/>
      <c r="I47" s="430">
        <f>57000-SUM(F47:F47)</f>
        <v>39900</v>
      </c>
      <c r="J47" s="567"/>
      <c r="K47" s="205"/>
      <c r="L47" s="205"/>
      <c r="M47" s="205"/>
      <c r="N47" s="252"/>
      <c r="O47" s="221" t="s">
        <v>469</v>
      </c>
      <c r="P47" s="569">
        <v>13</v>
      </c>
      <c r="Q47" s="429">
        <v>9500</v>
      </c>
      <c r="R47" s="430">
        <f>0.85*Q47*P47</f>
        <v>104975</v>
      </c>
      <c r="S47" s="430">
        <f>Q47*P47*0.15</f>
        <v>18525</v>
      </c>
      <c r="T47" s="194"/>
      <c r="U47" s="400"/>
      <c r="V47" s="430">
        <f>57000-SUM(S47:S47)</f>
        <v>38475</v>
      </c>
      <c r="W47" s="205"/>
      <c r="X47" s="1633">
        <f t="shared" si="13"/>
        <v>1</v>
      </c>
      <c r="Y47" s="1634">
        <f t="shared" si="13"/>
        <v>0</v>
      </c>
      <c r="Z47" s="1634">
        <f t="shared" si="13"/>
        <v>8075</v>
      </c>
      <c r="AA47" s="1634">
        <f t="shared" si="13"/>
        <v>1425</v>
      </c>
      <c r="AB47" s="456"/>
      <c r="AC47" s="1634">
        <f>U47-H47</f>
        <v>0</v>
      </c>
      <c r="AD47" s="1635">
        <f>V47-I47</f>
        <v>-1425</v>
      </c>
      <c r="AE47" s="205"/>
      <c r="AF47" s="205"/>
      <c r="AG47" s="205"/>
      <c r="AH47" s="205"/>
      <c r="AI47" s="205"/>
      <c r="AJ47" s="205"/>
      <c r="AK47" s="205"/>
      <c r="AL47" s="205"/>
      <c r="AM47" s="205"/>
      <c r="AN47" s="205"/>
      <c r="AO47" s="205"/>
      <c r="AP47" s="205"/>
      <c r="AQ47" s="205"/>
    </row>
    <row r="48" spans="1:56" ht="28.5" x14ac:dyDescent="0.25">
      <c r="A48" s="252"/>
      <c r="B48" s="221" t="s">
        <v>109</v>
      </c>
      <c r="C48" s="225">
        <v>12</v>
      </c>
      <c r="D48" s="245">
        <f>1000*C46</f>
        <v>600</v>
      </c>
      <c r="E48" s="430">
        <f>0.85*D48*C48</f>
        <v>6120</v>
      </c>
      <c r="F48" s="430">
        <f>D48*C48*0.15</f>
        <v>1080</v>
      </c>
      <c r="G48" s="194"/>
      <c r="H48" s="400"/>
      <c r="I48" s="430">
        <f>33000-SUM(F48:F48)</f>
        <v>31920</v>
      </c>
      <c r="N48" s="252"/>
      <c r="O48" s="221" t="s">
        <v>109</v>
      </c>
      <c r="P48" s="568">
        <v>13</v>
      </c>
      <c r="Q48" s="558">
        <v>2500</v>
      </c>
      <c r="R48" s="430">
        <f>0.85*Q48*P48</f>
        <v>27625</v>
      </c>
      <c r="S48" s="430">
        <f>Q48*P48*0.15</f>
        <v>4875</v>
      </c>
      <c r="T48" s="194"/>
      <c r="U48" s="400"/>
      <c r="V48" s="430">
        <f>33000-SUM(S48:S48)</f>
        <v>28125</v>
      </c>
      <c r="X48" s="1633">
        <f t="shared" si="13"/>
        <v>1</v>
      </c>
      <c r="Y48" s="1634">
        <f t="shared" si="13"/>
        <v>1900</v>
      </c>
      <c r="Z48" s="1634">
        <f t="shared" si="13"/>
        <v>21505</v>
      </c>
      <c r="AA48" s="1634">
        <f t="shared" si="13"/>
        <v>3795</v>
      </c>
      <c r="AB48" s="456"/>
      <c r="AC48" s="1634">
        <f>U48-H48</f>
        <v>0</v>
      </c>
      <c r="AD48" s="1635">
        <f>V48-I48</f>
        <v>-3795</v>
      </c>
    </row>
    <row r="49" spans="1:56" s="208" customFormat="1" ht="15.75" thickBot="1" x14ac:dyDescent="0.3">
      <c r="A49" s="252"/>
      <c r="B49" s="373" t="s">
        <v>13</v>
      </c>
      <c r="C49" s="196"/>
      <c r="D49" s="196"/>
      <c r="E49" s="197">
        <f>SUM(E47:E48)</f>
        <v>103020</v>
      </c>
      <c r="F49" s="197">
        <f>SUM(F47:F48)</f>
        <v>18180</v>
      </c>
      <c r="G49" s="197">
        <f>SUM(G47:G48)</f>
        <v>0</v>
      </c>
      <c r="H49" s="197">
        <f>SUM(H47:H48)</f>
        <v>0</v>
      </c>
      <c r="I49" s="197">
        <f>SUM(I47:I48)</f>
        <v>71820</v>
      </c>
      <c r="N49" s="252"/>
      <c r="O49" s="373" t="s">
        <v>13</v>
      </c>
      <c r="P49" s="373"/>
      <c r="Q49" s="373"/>
      <c r="R49" s="197">
        <f>SUM(R47:R48)</f>
        <v>132600</v>
      </c>
      <c r="S49" s="197">
        <f>SUM(S47:S48)</f>
        <v>23400</v>
      </c>
      <c r="T49" s="197">
        <f>SUM(T47:T48)</f>
        <v>0</v>
      </c>
      <c r="U49" s="197">
        <f>SUM(U47:U48)</f>
        <v>0</v>
      </c>
      <c r="V49" s="197">
        <f>SUM(V47:V48)</f>
        <v>66600</v>
      </c>
      <c r="X49" s="565"/>
      <c r="Y49" s="566"/>
      <c r="Z49" s="235">
        <f>SUM(Z45:Z48)</f>
        <v>29580</v>
      </c>
      <c r="AA49" s="235">
        <f>SUM(AA45:AA48)</f>
        <v>5220</v>
      </c>
      <c r="AB49" s="235">
        <f>SUM(AB45:AB48)</f>
        <v>0</v>
      </c>
      <c r="AC49" s="235">
        <f>SUM(AC45:AC48)</f>
        <v>0</v>
      </c>
      <c r="AD49" s="238">
        <f>SUM(AD45:AD48)</f>
        <v>-5220</v>
      </c>
    </row>
    <row r="50" spans="1:56" ht="15.75" thickBot="1" x14ac:dyDescent="0.3">
      <c r="A50" s="282"/>
      <c r="B50" s="427"/>
      <c r="C50" s="376"/>
      <c r="D50" s="376"/>
      <c r="E50" s="377"/>
      <c r="F50" s="377"/>
      <c r="G50" s="403"/>
      <c r="H50" s="286"/>
      <c r="I50" s="379"/>
      <c r="X50" s="563"/>
      <c r="Y50" s="563"/>
      <c r="Z50" s="563"/>
      <c r="AA50" s="563"/>
      <c r="AB50" s="536"/>
      <c r="AC50" s="563"/>
      <c r="AD50" s="563"/>
    </row>
    <row r="51" spans="1:56" s="44" customFormat="1" ht="15" x14ac:dyDescent="0.25">
      <c r="A51" s="303"/>
      <c r="B51" s="406"/>
      <c r="C51" s="203"/>
      <c r="D51" s="203"/>
      <c r="E51" s="204"/>
      <c r="F51" s="204"/>
      <c r="G51" s="205"/>
      <c r="H51" s="206"/>
      <c r="I51" s="207"/>
      <c r="X51" s="564"/>
      <c r="Y51" s="564"/>
      <c r="Z51" s="204"/>
      <c r="AA51" s="204"/>
      <c r="AB51" s="204"/>
      <c r="AC51" s="204"/>
      <c r="AD51" s="204"/>
    </row>
    <row r="52" spans="1:56" s="44" customFormat="1" ht="15.75" thickBot="1" x14ac:dyDescent="0.3">
      <c r="A52" s="303"/>
      <c r="B52" s="406"/>
      <c r="C52" s="203"/>
      <c r="D52" s="203"/>
      <c r="E52" s="204"/>
      <c r="F52" s="204"/>
      <c r="G52" s="205"/>
      <c r="H52" s="206"/>
      <c r="I52" s="207"/>
    </row>
    <row r="53" spans="1:56" s="44" customFormat="1" ht="15" customHeight="1" x14ac:dyDescent="0.25">
      <c r="A53" s="399">
        <v>5</v>
      </c>
      <c r="B53" s="211" t="s">
        <v>65</v>
      </c>
      <c r="C53" s="3274" t="s">
        <v>410</v>
      </c>
      <c r="D53" s="3275"/>
      <c r="E53" s="3276"/>
      <c r="F53" s="184"/>
      <c r="G53" s="6"/>
      <c r="H53" s="3282" t="s">
        <v>88</v>
      </c>
      <c r="I53" s="3283"/>
      <c r="N53" s="210">
        <v>5</v>
      </c>
      <c r="O53" s="211" t="s">
        <v>65</v>
      </c>
      <c r="P53" s="3274" t="s">
        <v>501</v>
      </c>
      <c r="Q53" s="3275"/>
      <c r="R53" s="3276"/>
      <c r="S53" s="448"/>
      <c r="T53" s="451"/>
      <c r="U53" s="3282" t="s">
        <v>88</v>
      </c>
      <c r="V53" s="3283"/>
      <c r="X53" s="3271" t="s">
        <v>506</v>
      </c>
      <c r="Y53" s="3271"/>
      <c r="Z53" s="3271"/>
      <c r="AA53" s="448"/>
      <c r="AB53" s="451"/>
      <c r="AC53" s="3272" t="s">
        <v>88</v>
      </c>
      <c r="AD53" s="3273"/>
      <c r="AR53" s="407">
        <f>E56</f>
        <v>138890</v>
      </c>
    </row>
    <row r="54" spans="1:56" s="44" customFormat="1" ht="60" x14ac:dyDescent="0.25">
      <c r="A54" s="371"/>
      <c r="B54" s="187" t="s">
        <v>89</v>
      </c>
      <c r="C54" s="187" t="s">
        <v>54</v>
      </c>
      <c r="D54" s="251" t="s">
        <v>91</v>
      </c>
      <c r="E54" s="251" t="s">
        <v>92</v>
      </c>
      <c r="F54" s="186" t="s">
        <v>106</v>
      </c>
      <c r="G54" s="194"/>
      <c r="H54" s="187" t="s">
        <v>54</v>
      </c>
      <c r="I54" s="188" t="s">
        <v>92</v>
      </c>
      <c r="N54" s="212"/>
      <c r="O54" s="452" t="s">
        <v>89</v>
      </c>
      <c r="P54" s="452" t="s">
        <v>54</v>
      </c>
      <c r="Q54" s="467" t="s">
        <v>91</v>
      </c>
      <c r="R54" s="453" t="s">
        <v>512</v>
      </c>
      <c r="S54" s="453" t="s">
        <v>106</v>
      </c>
      <c r="T54" s="466"/>
      <c r="U54" s="452" t="s">
        <v>54</v>
      </c>
      <c r="V54" s="455" t="s">
        <v>502</v>
      </c>
      <c r="X54" s="453" t="s">
        <v>90</v>
      </c>
      <c r="Y54" s="453" t="s">
        <v>91</v>
      </c>
      <c r="Z54" s="453" t="s">
        <v>507</v>
      </c>
      <c r="AA54" s="453"/>
      <c r="AB54" s="454"/>
      <c r="AC54" s="452" t="s">
        <v>54</v>
      </c>
      <c r="AD54" s="455" t="s">
        <v>507</v>
      </c>
      <c r="BD54" s="407">
        <f>E57</f>
        <v>19380</v>
      </c>
    </row>
    <row r="55" spans="1:56" ht="15" x14ac:dyDescent="0.2">
      <c r="A55" s="252"/>
      <c r="B55" s="468" t="s">
        <v>509</v>
      </c>
      <c r="C55" s="405">
        <v>1</v>
      </c>
      <c r="D55" s="401"/>
      <c r="E55" s="231"/>
      <c r="F55" s="401"/>
      <c r="G55" s="5"/>
      <c r="H55" s="304"/>
      <c r="I55" s="310"/>
      <c r="J55" s="482"/>
      <c r="N55" s="212"/>
      <c r="O55" s="468" t="s">
        <v>509</v>
      </c>
      <c r="P55" s="473">
        <v>1</v>
      </c>
      <c r="Q55" s="332"/>
      <c r="R55" s="469"/>
      <c r="S55" s="469"/>
      <c r="T55" s="456"/>
      <c r="U55" s="470"/>
      <c r="V55" s="471"/>
      <c r="X55" s="1634">
        <f t="shared" ref="X55:AA58" si="14">P55-C55</f>
        <v>0</v>
      </c>
      <c r="Y55" s="1634">
        <f t="shared" si="14"/>
        <v>0</v>
      </c>
      <c r="Z55" s="1634">
        <f t="shared" si="14"/>
        <v>0</v>
      </c>
      <c r="AA55" s="1634">
        <f t="shared" si="14"/>
        <v>0</v>
      </c>
      <c r="AB55" s="456"/>
      <c r="AC55" s="1634">
        <f t="shared" ref="AC55:AD58" si="15">U55-H55</f>
        <v>0</v>
      </c>
      <c r="AD55" s="1634">
        <f t="shared" si="15"/>
        <v>0</v>
      </c>
      <c r="AN55" s="91">
        <f>+(2200)*$J$1*C58*0.85</f>
        <v>7106</v>
      </c>
      <c r="AO55" s="91">
        <f>+(180*7)*$J$1*C58*0.85</f>
        <v>4069.7999999999997</v>
      </c>
      <c r="AP55" s="91">
        <f>+(60*7)*$J$1*C58*0.85</f>
        <v>1356.6</v>
      </c>
      <c r="AW55" s="276">
        <f>+(20*7)*$J$1*C58*0.85</f>
        <v>452.2</v>
      </c>
    </row>
    <row r="56" spans="1:56" s="44" customFormat="1" x14ac:dyDescent="0.2">
      <c r="A56" s="252"/>
      <c r="B56" s="290" t="s">
        <v>194</v>
      </c>
      <c r="C56" s="405">
        <v>1</v>
      </c>
      <c r="D56" s="401">
        <f>43000*$J$1</f>
        <v>163400</v>
      </c>
      <c r="E56" s="231">
        <f>+D56*C56*0.85</f>
        <v>138890</v>
      </c>
      <c r="F56" s="401">
        <f>D56*C56*0.15</f>
        <v>24510</v>
      </c>
      <c r="G56" s="5"/>
      <c r="H56" s="304"/>
      <c r="I56" s="310"/>
      <c r="J56" s="482">
        <f>D56/12</f>
        <v>13616.666666666666</v>
      </c>
      <c r="N56" s="185"/>
      <c r="O56" s="290" t="s">
        <v>515</v>
      </c>
      <c r="P56" s="476">
        <f>15*P55</f>
        <v>15</v>
      </c>
      <c r="Q56" s="477">
        <f>163400/12</f>
        <v>13616.666666666666</v>
      </c>
      <c r="R56" s="459">
        <f>+Q56*P56*0.85</f>
        <v>173612.5</v>
      </c>
      <c r="S56" s="459">
        <f>+Q56*P56*0.15</f>
        <v>30637.5</v>
      </c>
      <c r="T56" s="456"/>
      <c r="U56" s="478"/>
      <c r="V56" s="479"/>
      <c r="X56" s="1634">
        <f t="shared" si="14"/>
        <v>14</v>
      </c>
      <c r="Y56" s="1634">
        <f t="shared" si="14"/>
        <v>-149783.33333333334</v>
      </c>
      <c r="Z56" s="1634">
        <f t="shared" si="14"/>
        <v>34722.5</v>
      </c>
      <c r="AA56" s="1634">
        <f t="shared" si="14"/>
        <v>6127.5</v>
      </c>
      <c r="AB56" s="456"/>
      <c r="AC56" s="1634">
        <f t="shared" si="15"/>
        <v>0</v>
      </c>
      <c r="AD56" s="1634">
        <f t="shared" si="15"/>
        <v>0</v>
      </c>
    </row>
    <row r="57" spans="1:56" s="44" customFormat="1" ht="29.25" customHeight="1" x14ac:dyDescent="0.2">
      <c r="A57" s="252"/>
      <c r="B57" s="290" t="s">
        <v>442</v>
      </c>
      <c r="C57" s="405">
        <v>1</v>
      </c>
      <c r="D57" s="401">
        <f>6000*$J$1</f>
        <v>22800</v>
      </c>
      <c r="E57" s="231">
        <f>+D57*C57*0.85</f>
        <v>19380</v>
      </c>
      <c r="F57" s="401">
        <f>D57*C57*0.15</f>
        <v>3420</v>
      </c>
      <c r="G57" s="5"/>
      <c r="H57" s="304"/>
      <c r="I57" s="310"/>
      <c r="J57" s="482">
        <f>D57/12</f>
        <v>1900</v>
      </c>
      <c r="N57" s="185"/>
      <c r="O57" s="226" t="s">
        <v>442</v>
      </c>
      <c r="P57" s="476">
        <f>15*P55</f>
        <v>15</v>
      </c>
      <c r="Q57" s="460">
        <v>1900</v>
      </c>
      <c r="R57" s="459">
        <f>+Q57*P57*0.85</f>
        <v>24225</v>
      </c>
      <c r="S57" s="459">
        <f>+Q57*P57*0.15</f>
        <v>4275</v>
      </c>
      <c r="T57" s="456"/>
      <c r="U57" s="478"/>
      <c r="V57" s="479"/>
      <c r="X57" s="1634">
        <f t="shared" si="14"/>
        <v>14</v>
      </c>
      <c r="Y57" s="1634">
        <f t="shared" si="14"/>
        <v>-20900</v>
      </c>
      <c r="Z57" s="1634">
        <f t="shared" si="14"/>
        <v>4845</v>
      </c>
      <c r="AA57" s="1634">
        <f t="shared" si="14"/>
        <v>855</v>
      </c>
      <c r="AB57" s="456"/>
      <c r="AC57" s="1634">
        <f t="shared" si="15"/>
        <v>0</v>
      </c>
      <c r="AD57" s="1634">
        <f t="shared" si="15"/>
        <v>0</v>
      </c>
    </row>
    <row r="58" spans="1:56" ht="42.75" x14ac:dyDescent="0.2">
      <c r="A58" s="252"/>
      <c r="B58" s="408" t="s">
        <v>470</v>
      </c>
      <c r="C58" s="405">
        <v>1</v>
      </c>
      <c r="D58" s="401">
        <f>+(2200+60*7+180*7+20*7)*$J$1</f>
        <v>15276</v>
      </c>
      <c r="E58" s="231">
        <f>+D58*C58*0.85</f>
        <v>12984.6</v>
      </c>
      <c r="F58" s="401">
        <f>D58*C58*0.15</f>
        <v>2291.4</v>
      </c>
      <c r="G58" s="5"/>
      <c r="H58" s="304"/>
      <c r="I58" s="310"/>
      <c r="J58" s="44"/>
      <c r="N58" s="185"/>
      <c r="O58" s="408" t="s">
        <v>516</v>
      </c>
      <c r="P58" s="476">
        <v>1</v>
      </c>
      <c r="Q58" s="460">
        <f>+(30*5+200*5+200+1900)*$J$1</f>
        <v>12350</v>
      </c>
      <c r="R58" s="459">
        <f>+Q58*P58*0.85</f>
        <v>10497.5</v>
      </c>
      <c r="S58" s="459">
        <f>+Q58*P58*0.15</f>
        <v>1852.5</v>
      </c>
      <c r="T58" s="456"/>
      <c r="U58" s="478"/>
      <c r="V58" s="479"/>
      <c r="X58" s="1634">
        <f t="shared" si="14"/>
        <v>0</v>
      </c>
      <c r="Y58" s="1634">
        <f t="shared" si="14"/>
        <v>-2926</v>
      </c>
      <c r="Z58" s="1634">
        <f t="shared" si="14"/>
        <v>-2487.1000000000004</v>
      </c>
      <c r="AA58" s="1634">
        <f t="shared" si="14"/>
        <v>-438.90000000000009</v>
      </c>
      <c r="AB58" s="456"/>
      <c r="AC58" s="1634">
        <f t="shared" si="15"/>
        <v>0</v>
      </c>
      <c r="AD58" s="1634">
        <f t="shared" si="15"/>
        <v>0</v>
      </c>
    </row>
    <row r="59" spans="1:56" s="412" customFormat="1" ht="36.75" customHeight="1" x14ac:dyDescent="0.25">
      <c r="A59" s="252"/>
      <c r="B59" s="373" t="s">
        <v>13</v>
      </c>
      <c r="C59" s="196"/>
      <c r="D59" s="196"/>
      <c r="E59" s="197">
        <f>SUM(E56:E58)</f>
        <v>171254.6</v>
      </c>
      <c r="F59" s="197">
        <f>SUM(F56:F58)</f>
        <v>30221.4</v>
      </c>
      <c r="G59" s="5"/>
      <c r="H59" s="197"/>
      <c r="I59" s="228"/>
      <c r="J59"/>
      <c r="N59" s="185"/>
      <c r="O59" s="419" t="s">
        <v>13</v>
      </c>
      <c r="P59" s="472"/>
      <c r="Q59" s="480"/>
      <c r="R59" s="278">
        <f>SUM(R56:R58)</f>
        <v>208335</v>
      </c>
      <c r="S59" s="278">
        <f>SUM(S56:S58)</f>
        <v>36765</v>
      </c>
      <c r="T59" s="456"/>
      <c r="U59" s="278"/>
      <c r="V59" s="279"/>
      <c r="X59" s="461"/>
      <c r="Y59" s="461"/>
      <c r="Z59" s="197">
        <f>SUM(Z56:Z58)</f>
        <v>37080.400000000001</v>
      </c>
      <c r="AA59" s="197">
        <f>SUM(AA56:AA58)</f>
        <v>6543.6</v>
      </c>
      <c r="AB59" s="456"/>
      <c r="AC59" s="462"/>
      <c r="AD59" s="197">
        <f>SUM(AD56:AD58)</f>
        <v>0</v>
      </c>
    </row>
    <row r="60" spans="1:56" s="44" customFormat="1" ht="27" customHeight="1" thickBot="1" x14ac:dyDescent="0.25">
      <c r="A60" s="3339" t="s">
        <v>471</v>
      </c>
      <c r="B60" s="3340"/>
      <c r="C60" s="3340"/>
      <c r="D60" s="3340"/>
      <c r="E60" s="3340"/>
      <c r="F60" s="3340"/>
      <c r="G60" s="3340"/>
      <c r="H60" s="3340"/>
      <c r="I60" s="3341"/>
      <c r="J60" s="412"/>
      <c r="N60" s="481"/>
      <c r="O60" s="3297" t="s">
        <v>517</v>
      </c>
      <c r="P60" s="3298"/>
      <c r="Q60" s="3298"/>
      <c r="R60" s="3298"/>
      <c r="S60" s="3298"/>
      <c r="T60" s="3298"/>
      <c r="U60" s="3299"/>
      <c r="V60" s="450"/>
      <c r="X60"/>
      <c r="Y60"/>
      <c r="Z60"/>
      <c r="AA60"/>
      <c r="AB60"/>
      <c r="AC60"/>
      <c r="AD60"/>
    </row>
    <row r="61" spans="1:56" s="44" customFormat="1" ht="18.75" thickBot="1" x14ac:dyDescent="0.25">
      <c r="A61" s="409"/>
      <c r="B61" s="208"/>
      <c r="C61" s="208"/>
      <c r="D61" s="208"/>
      <c r="E61" s="208"/>
      <c r="F61" s="208"/>
      <c r="G61" s="208"/>
      <c r="H61" s="208"/>
      <c r="I61" s="208"/>
      <c r="R61" s="407">
        <f>R59-'[7]פורמט משרד מקוצר'!$Q$36</f>
        <v>0</v>
      </c>
      <c r="S61" s="407">
        <f>S59-'[7]פורמט משרד מקוצר'!$R$36</f>
        <v>0</v>
      </c>
      <c r="X61"/>
      <c r="Y61"/>
      <c r="Z61"/>
      <c r="AA61"/>
      <c r="AB61"/>
      <c r="AC61"/>
      <c r="AD61"/>
      <c r="AN61" s="407">
        <f>E65</f>
        <v>22192</v>
      </c>
      <c r="AO61" s="407"/>
      <c r="AP61" s="407"/>
    </row>
    <row r="62" spans="1:56" s="44" customFormat="1" ht="30" customHeight="1" x14ac:dyDescent="0.25">
      <c r="A62" s="410">
        <v>6</v>
      </c>
      <c r="B62" s="211" t="s">
        <v>444</v>
      </c>
      <c r="C62" s="3272" t="s">
        <v>410</v>
      </c>
      <c r="D62" s="3272"/>
      <c r="E62" s="3272"/>
      <c r="F62" s="385"/>
      <c r="G62" s="411"/>
      <c r="H62" s="3272" t="s">
        <v>88</v>
      </c>
      <c r="I62" s="3273"/>
      <c r="N62" s="483">
        <v>6</v>
      </c>
      <c r="O62" s="211" t="s">
        <v>444</v>
      </c>
      <c r="P62" s="3274" t="s">
        <v>501</v>
      </c>
      <c r="Q62" s="3275"/>
      <c r="R62" s="3276"/>
      <c r="S62" s="449"/>
      <c r="T62" s="411"/>
      <c r="U62" s="3272" t="s">
        <v>88</v>
      </c>
      <c r="V62" s="3273"/>
      <c r="X62" s="3271" t="s">
        <v>506</v>
      </c>
      <c r="Y62" s="3271"/>
      <c r="Z62" s="3271"/>
      <c r="AA62" s="448"/>
      <c r="AB62" s="451"/>
      <c r="AC62" s="3272" t="s">
        <v>88</v>
      </c>
      <c r="AD62" s="3273"/>
      <c r="AY62" s="407">
        <f>E66</f>
        <v>77808</v>
      </c>
    </row>
    <row r="63" spans="1:56" ht="60" x14ac:dyDescent="0.25">
      <c r="A63" s="252"/>
      <c r="B63" s="187" t="s">
        <v>89</v>
      </c>
      <c r="C63" s="187" t="s">
        <v>54</v>
      </c>
      <c r="D63" s="186" t="s">
        <v>91</v>
      </c>
      <c r="E63" s="186" t="s">
        <v>92</v>
      </c>
      <c r="F63" s="186" t="s">
        <v>106</v>
      </c>
      <c r="G63" s="5"/>
      <c r="H63" s="187" t="s">
        <v>54</v>
      </c>
      <c r="I63" s="188" t="s">
        <v>92</v>
      </c>
      <c r="J63" s="44"/>
      <c r="N63" s="185"/>
      <c r="O63" s="187" t="s">
        <v>89</v>
      </c>
      <c r="P63" s="187" t="s">
        <v>54</v>
      </c>
      <c r="Q63" s="186" t="s">
        <v>91</v>
      </c>
      <c r="R63" s="453" t="s">
        <v>502</v>
      </c>
      <c r="S63" s="186" t="s">
        <v>106</v>
      </c>
      <c r="T63" s="456"/>
      <c r="U63" s="187" t="s">
        <v>54</v>
      </c>
      <c r="V63" s="455" t="s">
        <v>502</v>
      </c>
      <c r="X63" s="453" t="s">
        <v>90</v>
      </c>
      <c r="Y63" s="453" t="s">
        <v>91</v>
      </c>
      <c r="Z63" s="453" t="s">
        <v>507</v>
      </c>
      <c r="AA63" s="453"/>
      <c r="AB63" s="454"/>
      <c r="AC63" s="452" t="s">
        <v>54</v>
      </c>
      <c r="AD63" s="455" t="s">
        <v>507</v>
      </c>
    </row>
    <row r="64" spans="1:56" x14ac:dyDescent="0.2">
      <c r="A64" s="252"/>
      <c r="B64" s="290" t="s">
        <v>445</v>
      </c>
      <c r="C64" s="380">
        <v>1</v>
      </c>
      <c r="D64" s="401"/>
      <c r="E64" s="231"/>
      <c r="F64" s="231"/>
      <c r="G64" s="5"/>
      <c r="H64" s="232"/>
      <c r="I64" s="233"/>
      <c r="J64" s="44"/>
      <c r="N64" s="185"/>
      <c r="O64" s="290" t="s">
        <v>445</v>
      </c>
      <c r="P64" s="484">
        <v>1</v>
      </c>
      <c r="Q64" s="477"/>
      <c r="R64" s="459"/>
      <c r="S64" s="459"/>
      <c r="T64" s="456"/>
      <c r="U64" s="232"/>
      <c r="V64" s="233"/>
      <c r="X64" s="1634">
        <f t="shared" ref="X64:AA69" si="16">P64-C64</f>
        <v>0</v>
      </c>
      <c r="Y64" s="1634">
        <f t="shared" si="16"/>
        <v>0</v>
      </c>
      <c r="Z64" s="1634">
        <f t="shared" si="16"/>
        <v>0</v>
      </c>
      <c r="AA64" s="1634">
        <f t="shared" si="16"/>
        <v>0</v>
      </c>
      <c r="AB64" s="456"/>
      <c r="AC64" s="1634">
        <f t="shared" ref="AC64:AD69" si="17">U64-H64</f>
        <v>0</v>
      </c>
      <c r="AD64" s="1634">
        <f t="shared" si="17"/>
        <v>0</v>
      </c>
    </row>
    <row r="65" spans="1:47" ht="42.75" x14ac:dyDescent="0.2">
      <c r="A65" s="252"/>
      <c r="B65" s="290" t="s">
        <v>446</v>
      </c>
      <c r="C65" s="380">
        <f>C64</f>
        <v>1</v>
      </c>
      <c r="D65" s="401">
        <f>+(2200+60*14+180*14+20*14)*$J$1</f>
        <v>22192</v>
      </c>
      <c r="E65" s="231">
        <f>+D65*C65</f>
        <v>22192</v>
      </c>
      <c r="F65" s="231"/>
      <c r="G65" s="5"/>
      <c r="H65" s="232"/>
      <c r="I65" s="233">
        <f>+H65*D65</f>
        <v>0</v>
      </c>
      <c r="N65" s="185"/>
      <c r="O65" s="290" t="s">
        <v>518</v>
      </c>
      <c r="P65" s="484">
        <f>P64</f>
        <v>1</v>
      </c>
      <c r="Q65" s="477">
        <f>+(1900+60*14+180*14+20*14)*$J$1</f>
        <v>21052</v>
      </c>
      <c r="R65" s="459">
        <f>+Q65*P65</f>
        <v>21052</v>
      </c>
      <c r="S65" s="459"/>
      <c r="T65" s="456"/>
      <c r="U65" s="232"/>
      <c r="V65" s="233">
        <f>+U65*Q65</f>
        <v>0</v>
      </c>
      <c r="X65" s="1634">
        <f t="shared" si="16"/>
        <v>0</v>
      </c>
      <c r="Y65" s="1634">
        <f t="shared" si="16"/>
        <v>-1140</v>
      </c>
      <c r="Z65" s="1634">
        <f t="shared" si="16"/>
        <v>-1140</v>
      </c>
      <c r="AA65" s="1634">
        <f t="shared" si="16"/>
        <v>0</v>
      </c>
      <c r="AB65" s="456"/>
      <c r="AC65" s="1634">
        <f t="shared" si="17"/>
        <v>0</v>
      </c>
      <c r="AD65" s="1634">
        <f t="shared" si="17"/>
        <v>0</v>
      </c>
    </row>
    <row r="66" spans="1:47" s="44" customFormat="1" x14ac:dyDescent="0.2">
      <c r="A66" s="252"/>
      <c r="B66" s="290" t="s">
        <v>447</v>
      </c>
      <c r="C66" s="380">
        <f>C65</f>
        <v>1</v>
      </c>
      <c r="D66" s="393">
        <f>100000-E65</f>
        <v>77808</v>
      </c>
      <c r="E66" s="231">
        <f>+D66*C66</f>
        <v>77808</v>
      </c>
      <c r="F66" s="231"/>
      <c r="G66" s="5"/>
      <c r="H66" s="232"/>
      <c r="I66" s="233">
        <f>+H66*D66</f>
        <v>0</v>
      </c>
      <c r="J66"/>
      <c r="N66" s="185"/>
      <c r="O66" s="290" t="s">
        <v>447</v>
      </c>
      <c r="P66" s="484">
        <f>P65</f>
        <v>1</v>
      </c>
      <c r="Q66" s="460">
        <v>46354</v>
      </c>
      <c r="R66" s="459">
        <f>+Q66*P66</f>
        <v>46354</v>
      </c>
      <c r="S66" s="459"/>
      <c r="T66" s="456"/>
      <c r="U66" s="232"/>
      <c r="V66" s="233">
        <f>+U66*Q66</f>
        <v>0</v>
      </c>
      <c r="X66" s="1634">
        <f t="shared" si="16"/>
        <v>0</v>
      </c>
      <c r="Y66" s="1634">
        <f t="shared" si="16"/>
        <v>-31454</v>
      </c>
      <c r="Z66" s="1634">
        <f t="shared" si="16"/>
        <v>-31454</v>
      </c>
      <c r="AA66" s="1634">
        <f t="shared" si="16"/>
        <v>0</v>
      </c>
      <c r="AB66" s="456"/>
      <c r="AC66" s="1634">
        <f t="shared" si="17"/>
        <v>0</v>
      </c>
      <c r="AD66" s="1634">
        <f t="shared" si="17"/>
        <v>0</v>
      </c>
    </row>
    <row r="67" spans="1:47" s="208" customFormat="1" ht="15" x14ac:dyDescent="0.25">
      <c r="A67" s="252"/>
      <c r="B67" s="290"/>
      <c r="C67" s="380"/>
      <c r="D67" s="393"/>
      <c r="E67" s="231"/>
      <c r="F67" s="231"/>
      <c r="G67" s="5"/>
      <c r="H67" s="232"/>
      <c r="I67" s="233"/>
      <c r="J67"/>
      <c r="N67" s="185"/>
      <c r="O67" s="189" t="s">
        <v>519</v>
      </c>
      <c r="P67" s="485">
        <v>4</v>
      </c>
      <c r="Q67" s="190"/>
      <c r="R67" s="469"/>
      <c r="S67" s="459"/>
      <c r="T67" s="456"/>
      <c r="U67" s="232"/>
      <c r="V67" s="233"/>
      <c r="X67" s="1634">
        <f t="shared" si="16"/>
        <v>4</v>
      </c>
      <c r="Y67" s="1634">
        <f t="shared" si="16"/>
        <v>0</v>
      </c>
      <c r="Z67" s="1634">
        <f t="shared" si="16"/>
        <v>0</v>
      </c>
      <c r="AA67" s="1634">
        <f t="shared" si="16"/>
        <v>0</v>
      </c>
      <c r="AB67" s="456"/>
      <c r="AC67" s="1634">
        <f t="shared" si="17"/>
        <v>0</v>
      </c>
      <c r="AD67" s="1634">
        <f t="shared" si="17"/>
        <v>0</v>
      </c>
    </row>
    <row r="68" spans="1:47" s="208" customFormat="1" x14ac:dyDescent="0.2">
      <c r="A68" s="252"/>
      <c r="B68" s="290"/>
      <c r="C68" s="380"/>
      <c r="D68" s="393"/>
      <c r="E68" s="231"/>
      <c r="F68" s="231"/>
      <c r="G68" s="5"/>
      <c r="H68" s="232"/>
      <c r="I68" s="233"/>
      <c r="J68" s="44"/>
      <c r="N68" s="185"/>
      <c r="O68" s="515" t="s">
        <v>520</v>
      </c>
      <c r="P68" s="486">
        <f>3*P67*1.5</f>
        <v>18</v>
      </c>
      <c r="Q68" s="486">
        <f>318*1.17*2</f>
        <v>744.12</v>
      </c>
      <c r="R68" s="487">
        <f>Q68*P68</f>
        <v>13394.16</v>
      </c>
      <c r="S68" s="459"/>
      <c r="T68" s="456"/>
      <c r="U68" s="232"/>
      <c r="V68" s="233"/>
      <c r="X68" s="1634">
        <f t="shared" si="16"/>
        <v>18</v>
      </c>
      <c r="Y68" s="1634">
        <f t="shared" si="16"/>
        <v>744.12</v>
      </c>
      <c r="Z68" s="1634">
        <f t="shared" si="16"/>
        <v>13394.16</v>
      </c>
      <c r="AA68" s="1634">
        <f t="shared" si="16"/>
        <v>0</v>
      </c>
      <c r="AB68" s="456"/>
      <c r="AC68" s="1634">
        <f t="shared" si="17"/>
        <v>0</v>
      </c>
      <c r="AD68" s="1634">
        <f t="shared" si="17"/>
        <v>0</v>
      </c>
    </row>
    <row r="69" spans="1:47" s="208" customFormat="1" x14ac:dyDescent="0.2">
      <c r="A69" s="252"/>
      <c r="B69" s="290"/>
      <c r="C69" s="380"/>
      <c r="D69" s="393"/>
      <c r="E69" s="231"/>
      <c r="F69" s="231"/>
      <c r="G69" s="5"/>
      <c r="H69" s="232"/>
      <c r="I69" s="233"/>
      <c r="J69" s="205"/>
      <c r="N69" s="185"/>
      <c r="O69" s="515" t="s">
        <v>831</v>
      </c>
      <c r="P69" s="486">
        <f>+P67</f>
        <v>4</v>
      </c>
      <c r="Q69" s="486">
        <f>1000+1000*$J$1</f>
        <v>4800</v>
      </c>
      <c r="R69" s="487">
        <f>Q69*P69</f>
        <v>19200</v>
      </c>
      <c r="S69" s="459"/>
      <c r="T69" s="456"/>
      <c r="U69" s="232"/>
      <c r="V69" s="233"/>
      <c r="X69" s="1634">
        <f t="shared" si="16"/>
        <v>4</v>
      </c>
      <c r="Y69" s="1634">
        <f t="shared" si="16"/>
        <v>4800</v>
      </c>
      <c r="Z69" s="1634">
        <f t="shared" si="16"/>
        <v>19200</v>
      </c>
      <c r="AA69" s="1634">
        <f t="shared" si="16"/>
        <v>0</v>
      </c>
      <c r="AB69" s="456"/>
      <c r="AC69" s="1634">
        <f t="shared" si="17"/>
        <v>0</v>
      </c>
      <c r="AD69" s="1634">
        <f t="shared" si="17"/>
        <v>0</v>
      </c>
    </row>
    <row r="70" spans="1:47" ht="15.75" thickBot="1" x14ac:dyDescent="0.3">
      <c r="A70" s="282"/>
      <c r="B70" s="384" t="s">
        <v>13</v>
      </c>
      <c r="C70" s="234"/>
      <c r="D70" s="234"/>
      <c r="E70" s="235">
        <f>SUM(E65:E69)</f>
        <v>100000</v>
      </c>
      <c r="F70" s="235"/>
      <c r="G70" s="236"/>
      <c r="H70" s="237"/>
      <c r="I70" s="238">
        <f>SUM(I65:I69)</f>
        <v>0</v>
      </c>
      <c r="J70" s="205"/>
      <c r="N70" s="185"/>
      <c r="O70" s="373" t="s">
        <v>13</v>
      </c>
      <c r="P70" s="461"/>
      <c r="Q70" s="461"/>
      <c r="R70" s="197">
        <f>SUM(R65:R69)</f>
        <v>100000.16</v>
      </c>
      <c r="S70" s="197"/>
      <c r="T70" s="194"/>
      <c r="U70" s="462"/>
      <c r="V70" s="228">
        <f>SUM(V65:V69)</f>
        <v>0</v>
      </c>
      <c r="X70" s="461"/>
      <c r="Y70" s="461"/>
      <c r="Z70" s="197">
        <f>SUM(Z64:Z69)</f>
        <v>0.15999999999985448</v>
      </c>
      <c r="AA70" s="197">
        <f>SUM(AA64:AA69)</f>
        <v>0</v>
      </c>
      <c r="AB70" s="456"/>
      <c r="AC70" s="462"/>
      <c r="AD70" s="197">
        <f>SUM(AD64:AD69)</f>
        <v>0</v>
      </c>
    </row>
    <row r="71" spans="1:47" s="208" customFormat="1" ht="15" customHeight="1" thickBot="1" x14ac:dyDescent="0.3">
      <c r="A71" s="413"/>
      <c r="B71" s="3342" t="s">
        <v>472</v>
      </c>
      <c r="C71" s="3342"/>
      <c r="D71" s="3342"/>
      <c r="E71" s="3342"/>
      <c r="F71" s="3342"/>
      <c r="G71" s="3342"/>
      <c r="H71" s="3342"/>
      <c r="I71" s="3343"/>
      <c r="J71" s="205"/>
      <c r="N71" s="488"/>
      <c r="O71" s="3348" t="s">
        <v>472</v>
      </c>
      <c r="P71" s="3348"/>
      <c r="Q71" s="3348"/>
      <c r="R71" s="3348"/>
      <c r="S71" s="3348"/>
      <c r="T71" s="3348"/>
      <c r="U71" s="3348"/>
      <c r="V71" s="489"/>
    </row>
    <row r="72" spans="1:47" s="208" customFormat="1" ht="18" x14ac:dyDescent="0.25">
      <c r="A72" s="409"/>
      <c r="J72" s="205"/>
      <c r="N72" s="488"/>
      <c r="O72" s="3349"/>
      <c r="P72" s="3349"/>
      <c r="Q72" s="3349"/>
      <c r="R72" s="3349"/>
      <c r="S72" s="3349"/>
      <c r="T72" s="3349"/>
      <c r="U72" s="3349"/>
      <c r="V72" s="489"/>
      <c r="AO72" s="424">
        <f>E80</f>
        <v>142310</v>
      </c>
      <c r="AP72" s="424"/>
    </row>
    <row r="73" spans="1:47" s="208" customFormat="1" ht="20.25" customHeight="1" thickBot="1" x14ac:dyDescent="0.25">
      <c r="A73" s="409"/>
      <c r="J73" s="205"/>
      <c r="N73" s="490"/>
      <c r="O73" s="3350"/>
      <c r="P73" s="3351"/>
      <c r="Q73" s="3351"/>
      <c r="R73" s="3351"/>
      <c r="S73" s="3351"/>
      <c r="T73" s="3351"/>
      <c r="U73" s="3352"/>
      <c r="V73" s="491"/>
      <c r="AU73" s="424">
        <f>E81</f>
        <v>22800</v>
      </c>
    </row>
    <row r="74" spans="1:47" s="208" customFormat="1" ht="15" thickBot="1" x14ac:dyDescent="0.25">
      <c r="A74" s="303"/>
      <c r="B74" s="202"/>
      <c r="C74" s="202"/>
      <c r="D74" s="202"/>
      <c r="E74" s="202"/>
      <c r="F74" s="202"/>
      <c r="G74" s="202"/>
      <c r="H74" s="202"/>
      <c r="I74" s="202"/>
      <c r="J74" s="205"/>
    </row>
    <row r="75" spans="1:47" ht="15" x14ac:dyDescent="0.25">
      <c r="A75" s="369">
        <v>8</v>
      </c>
      <c r="B75" s="241" t="s">
        <v>5</v>
      </c>
      <c r="C75" s="3271" t="s">
        <v>450</v>
      </c>
      <c r="D75" s="3271"/>
      <c r="E75" s="3271"/>
      <c r="F75" s="184"/>
      <c r="G75" s="230"/>
      <c r="H75" s="3272" t="s">
        <v>88</v>
      </c>
      <c r="I75" s="3273"/>
      <c r="J75" s="205"/>
      <c r="N75" s="182">
        <v>8</v>
      </c>
      <c r="O75" s="241" t="s">
        <v>5</v>
      </c>
      <c r="P75" s="3274" t="s">
        <v>501</v>
      </c>
      <c r="Q75" s="3275"/>
      <c r="R75" s="3276"/>
      <c r="S75" s="448"/>
      <c r="T75" s="230"/>
      <c r="U75" s="3272" t="s">
        <v>88</v>
      </c>
      <c r="V75" s="3273"/>
      <c r="X75" s="3271" t="s">
        <v>506</v>
      </c>
      <c r="Y75" s="3271"/>
      <c r="Z75" s="3271"/>
      <c r="AA75" s="556"/>
      <c r="AB75" s="451"/>
      <c r="AC75" s="3272" t="s">
        <v>88</v>
      </c>
      <c r="AD75" s="3273"/>
    </row>
    <row r="76" spans="1:47" s="208" customFormat="1" ht="60" x14ac:dyDescent="0.25">
      <c r="A76" s="252"/>
      <c r="B76" s="187" t="s">
        <v>89</v>
      </c>
      <c r="C76" s="194" t="s">
        <v>54</v>
      </c>
      <c r="D76" s="251" t="s">
        <v>91</v>
      </c>
      <c r="E76" s="251" t="s">
        <v>92</v>
      </c>
      <c r="F76" s="251"/>
      <c r="G76" s="5"/>
      <c r="H76" s="187" t="s">
        <v>166</v>
      </c>
      <c r="I76" s="188" t="s">
        <v>92</v>
      </c>
      <c r="J76" s="205"/>
      <c r="N76" s="185"/>
      <c r="O76" s="452" t="s">
        <v>89</v>
      </c>
      <c r="P76" s="466" t="s">
        <v>54</v>
      </c>
      <c r="Q76" s="467" t="s">
        <v>91</v>
      </c>
      <c r="R76" s="453" t="s">
        <v>502</v>
      </c>
      <c r="S76" s="492"/>
      <c r="T76" s="454"/>
      <c r="U76" s="493" t="s">
        <v>54</v>
      </c>
      <c r="V76" s="455" t="s">
        <v>502</v>
      </c>
      <c r="X76" s="453" t="s">
        <v>90</v>
      </c>
      <c r="Y76" s="453" t="s">
        <v>91</v>
      </c>
      <c r="Z76" s="453" t="s">
        <v>507</v>
      </c>
      <c r="AA76" s="453"/>
      <c r="AB76" s="454"/>
      <c r="AC76" s="452" t="s">
        <v>54</v>
      </c>
      <c r="AD76" s="455" t="s">
        <v>507</v>
      </c>
    </row>
    <row r="77" spans="1:47" s="208" customFormat="1" ht="15" x14ac:dyDescent="0.25">
      <c r="A77" s="275"/>
      <c r="B77" s="68" t="s">
        <v>29</v>
      </c>
      <c r="C77" s="68">
        <v>1</v>
      </c>
      <c r="D77" s="68"/>
      <c r="E77" s="68"/>
      <c r="F77" s="68"/>
      <c r="G77" s="68"/>
      <c r="H77" s="68"/>
      <c r="I77" s="217"/>
      <c r="J77" s="205"/>
      <c r="N77" s="494"/>
      <c r="O77" s="495" t="s">
        <v>29</v>
      </c>
      <c r="P77" s="495">
        <v>1</v>
      </c>
      <c r="Q77" s="496"/>
      <c r="R77" s="496"/>
      <c r="S77" s="496"/>
      <c r="T77" s="496"/>
      <c r="U77" s="496"/>
      <c r="V77" s="497"/>
      <c r="X77" s="1634">
        <f>P77-C77</f>
        <v>0</v>
      </c>
      <c r="Y77" s="1634">
        <f t="shared" ref="Y77:Y83" si="18">Q77-D77</f>
        <v>0</v>
      </c>
      <c r="Z77" s="1634">
        <f t="shared" ref="Z77:Z83" si="19">R77-E77</f>
        <v>0</v>
      </c>
      <c r="AA77" s="1634">
        <f t="shared" ref="AA77:AA83" si="20">S77-F77</f>
        <v>0</v>
      </c>
      <c r="AB77" s="456"/>
      <c r="AC77" s="1634">
        <f t="shared" ref="AC77:AC83" si="21">U77-H77</f>
        <v>0</v>
      </c>
      <c r="AD77" s="1634">
        <f t="shared" ref="AD77:AD83" si="22">V77-I77</f>
        <v>0</v>
      </c>
    </row>
    <row r="78" spans="1:47" s="208" customFormat="1" ht="15" x14ac:dyDescent="0.25">
      <c r="A78" s="275"/>
      <c r="B78" s="68" t="s">
        <v>95</v>
      </c>
      <c r="C78" s="68">
        <v>100</v>
      </c>
      <c r="D78" s="68"/>
      <c r="E78" s="68"/>
      <c r="F78" s="68"/>
      <c r="G78" s="68"/>
      <c r="H78" s="68"/>
      <c r="I78" s="217"/>
      <c r="J78" s="205"/>
      <c r="N78" s="494"/>
      <c r="O78" s="495" t="s">
        <v>95</v>
      </c>
      <c r="P78" s="495">
        <v>70</v>
      </c>
      <c r="Q78" s="496"/>
      <c r="R78" s="496"/>
      <c r="S78" s="496"/>
      <c r="T78" s="496"/>
      <c r="U78" s="496"/>
      <c r="V78" s="497"/>
      <c r="X78" s="1634">
        <f t="shared" ref="X78:X83" si="23">P78-C78</f>
        <v>-30</v>
      </c>
      <c r="Y78" s="1634">
        <f t="shared" si="18"/>
        <v>0</v>
      </c>
      <c r="Z78" s="1634">
        <f t="shared" si="19"/>
        <v>0</v>
      </c>
      <c r="AA78" s="1634">
        <f t="shared" si="20"/>
        <v>0</v>
      </c>
      <c r="AB78" s="456"/>
      <c r="AC78" s="1634">
        <f t="shared" si="21"/>
        <v>0</v>
      </c>
      <c r="AD78" s="1634">
        <f t="shared" si="22"/>
        <v>0</v>
      </c>
    </row>
    <row r="79" spans="1:47" s="208" customFormat="1" ht="15" x14ac:dyDescent="0.25">
      <c r="A79" s="252"/>
      <c r="B79" s="390" t="s">
        <v>451</v>
      </c>
      <c r="C79" s="190">
        <v>7</v>
      </c>
      <c r="D79" s="190"/>
      <c r="E79" s="190"/>
      <c r="F79" s="400"/>
      <c r="G79" s="400"/>
      <c r="H79" s="400"/>
      <c r="I79" s="397"/>
      <c r="J79" s="205"/>
      <c r="N79" s="185"/>
      <c r="O79" s="390" t="s">
        <v>451</v>
      </c>
      <c r="P79" s="495">
        <v>4</v>
      </c>
      <c r="Q79" s="190"/>
      <c r="R79" s="190"/>
      <c r="S79" s="400"/>
      <c r="T79" s="400"/>
      <c r="U79" s="400"/>
      <c r="V79" s="397"/>
      <c r="X79" s="1634">
        <f t="shared" si="23"/>
        <v>-3</v>
      </c>
      <c r="Y79" s="1634">
        <f t="shared" si="18"/>
        <v>0</v>
      </c>
      <c r="Z79" s="1634">
        <f t="shared" si="19"/>
        <v>0</v>
      </c>
      <c r="AA79" s="1634">
        <f t="shared" si="20"/>
        <v>0</v>
      </c>
      <c r="AB79" s="456"/>
      <c r="AC79" s="1634">
        <f t="shared" si="21"/>
        <v>0</v>
      </c>
      <c r="AD79" s="1634">
        <f t="shared" si="22"/>
        <v>0</v>
      </c>
    </row>
    <row r="80" spans="1:47" s="208" customFormat="1" ht="15" customHeight="1" x14ac:dyDescent="0.2">
      <c r="A80" s="252"/>
      <c r="B80" s="290" t="s">
        <v>473</v>
      </c>
      <c r="C80" s="231">
        <f>(+C79+C78)*C77</f>
        <v>107</v>
      </c>
      <c r="D80" s="193">
        <v>1330</v>
      </c>
      <c r="E80" s="231">
        <f>D80*C80</f>
        <v>142310</v>
      </c>
      <c r="F80" s="400"/>
      <c r="G80" s="400"/>
      <c r="H80" s="400"/>
      <c r="I80" s="397"/>
      <c r="J80"/>
      <c r="N80" s="185"/>
      <c r="O80" s="290" t="s">
        <v>473</v>
      </c>
      <c r="P80" s="459">
        <f>(+P79+P78)*P77+P79</f>
        <v>78</v>
      </c>
      <c r="Q80" s="460">
        <v>1330</v>
      </c>
      <c r="R80" s="459">
        <f>Q80*P80</f>
        <v>103740</v>
      </c>
      <c r="S80" s="400"/>
      <c r="T80" s="400"/>
      <c r="U80" s="400"/>
      <c r="V80" s="397"/>
      <c r="X80" s="1634">
        <f t="shared" si="23"/>
        <v>-29</v>
      </c>
      <c r="Y80" s="1634">
        <f t="shared" si="18"/>
        <v>0</v>
      </c>
      <c r="Z80" s="1634">
        <f t="shared" si="19"/>
        <v>-38570</v>
      </c>
      <c r="AA80" s="1634">
        <f t="shared" si="20"/>
        <v>0</v>
      </c>
      <c r="AB80" s="456"/>
      <c r="AC80" s="1634">
        <f t="shared" si="21"/>
        <v>0</v>
      </c>
      <c r="AD80" s="1634">
        <f t="shared" si="22"/>
        <v>0</v>
      </c>
      <c r="AR80" s="424">
        <f>E93</f>
        <v>53295</v>
      </c>
    </row>
    <row r="81" spans="1:56" s="208" customFormat="1" ht="28.5" x14ac:dyDescent="0.2">
      <c r="A81" s="252"/>
      <c r="B81" s="226" t="s">
        <v>420</v>
      </c>
      <c r="C81" s="193">
        <f>C77</f>
        <v>1</v>
      </c>
      <c r="D81" s="231">
        <v>22800</v>
      </c>
      <c r="E81" s="231">
        <f>D81*C81</f>
        <v>22800</v>
      </c>
      <c r="F81" s="400"/>
      <c r="G81" s="400"/>
      <c r="H81" s="400"/>
      <c r="I81" s="397"/>
      <c r="J81" s="205"/>
      <c r="N81" s="185"/>
      <c r="O81" s="226" t="s">
        <v>504</v>
      </c>
      <c r="P81" s="460">
        <f>P77</f>
        <v>1</v>
      </c>
      <c r="Q81" s="231">
        <v>22800</v>
      </c>
      <c r="R81" s="459">
        <f>Q81*P81</f>
        <v>22800</v>
      </c>
      <c r="S81" s="400"/>
      <c r="T81" s="400"/>
      <c r="U81" s="400"/>
      <c r="V81" s="397"/>
      <c r="X81" s="1634">
        <f t="shared" si="23"/>
        <v>0</v>
      </c>
      <c r="Y81" s="1634">
        <f t="shared" si="18"/>
        <v>0</v>
      </c>
      <c r="Z81" s="1634">
        <f t="shared" si="19"/>
        <v>0</v>
      </c>
      <c r="AA81" s="1634">
        <f t="shared" si="20"/>
        <v>0</v>
      </c>
      <c r="AB81" s="456"/>
      <c r="AC81" s="1634">
        <f t="shared" si="21"/>
        <v>0</v>
      </c>
      <c r="AD81" s="1634">
        <f t="shared" si="22"/>
        <v>0</v>
      </c>
      <c r="BD81" s="424">
        <f>E94</f>
        <v>9690</v>
      </c>
    </row>
    <row r="82" spans="1:56" ht="15" x14ac:dyDescent="0.2">
      <c r="A82" s="252"/>
      <c r="B82" s="223" t="s">
        <v>453</v>
      </c>
      <c r="C82" s="231"/>
      <c r="D82" s="193"/>
      <c r="E82" s="231"/>
      <c r="F82" s="400"/>
      <c r="G82" s="400"/>
      <c r="H82" s="400"/>
      <c r="I82" s="397"/>
      <c r="J82" s="208"/>
      <c r="K82" s="208"/>
      <c r="L82" s="208"/>
      <c r="M82" s="208"/>
      <c r="N82" s="185"/>
      <c r="O82" s="223" t="s">
        <v>453</v>
      </c>
      <c r="P82" s="459">
        <f>P79</f>
        <v>4</v>
      </c>
      <c r="Q82" s="460"/>
      <c r="R82" s="459"/>
      <c r="S82" s="400"/>
      <c r="T82" s="400"/>
      <c r="U82" s="400"/>
      <c r="V82" s="397"/>
      <c r="W82" s="208"/>
      <c r="X82" s="1634">
        <f t="shared" si="23"/>
        <v>4</v>
      </c>
      <c r="Y82" s="1634">
        <f t="shared" si="18"/>
        <v>0</v>
      </c>
      <c r="Z82" s="1634">
        <f t="shared" si="19"/>
        <v>0</v>
      </c>
      <c r="AA82" s="1634">
        <f t="shared" si="20"/>
        <v>0</v>
      </c>
      <c r="AB82" s="456"/>
      <c r="AC82" s="1634">
        <f t="shared" si="21"/>
        <v>0</v>
      </c>
      <c r="AD82" s="1634">
        <f t="shared" si="22"/>
        <v>0</v>
      </c>
      <c r="AE82" s="208"/>
      <c r="AF82" s="208"/>
      <c r="AG82" s="208"/>
      <c r="AH82" s="208"/>
      <c r="AI82" s="208"/>
      <c r="AJ82" s="208"/>
    </row>
    <row r="83" spans="1:56" x14ac:dyDescent="0.2">
      <c r="A83" s="252"/>
      <c r="B83" s="290" t="s">
        <v>121</v>
      </c>
      <c r="C83" s="193">
        <f>8*C77</f>
        <v>8</v>
      </c>
      <c r="D83" s="193">
        <v>8360</v>
      </c>
      <c r="E83" s="418">
        <f>D83*C83</f>
        <v>66880</v>
      </c>
      <c r="F83" s="400"/>
      <c r="G83" s="400"/>
      <c r="H83" s="400"/>
      <c r="I83" s="397"/>
      <c r="J83" s="208"/>
      <c r="K83" s="208"/>
      <c r="L83" s="208"/>
      <c r="M83" s="208"/>
      <c r="N83" s="185"/>
      <c r="O83" s="226" t="s">
        <v>521</v>
      </c>
      <c r="P83" s="460">
        <f>+P79</f>
        <v>4</v>
      </c>
      <c r="Q83" s="460">
        <f>1900*$J$1</f>
        <v>7220</v>
      </c>
      <c r="R83" s="498">
        <f>Q83*P83</f>
        <v>28880</v>
      </c>
      <c r="S83" s="400"/>
      <c r="T83" s="400"/>
      <c r="U83" s="400"/>
      <c r="V83" s="397"/>
      <c r="W83" s="208"/>
      <c r="X83" s="1634">
        <f t="shared" si="23"/>
        <v>-4</v>
      </c>
      <c r="Y83" s="1634">
        <f t="shared" si="18"/>
        <v>-1140</v>
      </c>
      <c r="Z83" s="1634">
        <f t="shared" si="19"/>
        <v>-38000</v>
      </c>
      <c r="AA83" s="1634">
        <f t="shared" si="20"/>
        <v>0</v>
      </c>
      <c r="AB83" s="456"/>
      <c r="AC83" s="1634">
        <f t="shared" si="21"/>
        <v>0</v>
      </c>
      <c r="AD83" s="1634">
        <f t="shared" si="22"/>
        <v>0</v>
      </c>
      <c r="AE83" s="208"/>
      <c r="AF83" s="208"/>
      <c r="AG83" s="208"/>
      <c r="AH83" s="208"/>
      <c r="AI83" s="208"/>
      <c r="AJ83" s="208"/>
    </row>
    <row r="84" spans="1:56" ht="28.5" x14ac:dyDescent="0.2">
      <c r="A84" s="252"/>
      <c r="B84" s="391" t="s">
        <v>454</v>
      </c>
      <c r="C84" s="231">
        <f>5*C83*C77</f>
        <v>40</v>
      </c>
      <c r="D84" s="193">
        <f>(60+180+20)*J1</f>
        <v>988</v>
      </c>
      <c r="E84" s="418">
        <f>D84*C84</f>
        <v>39520</v>
      </c>
      <c r="F84" s="400"/>
      <c r="G84" s="400"/>
      <c r="H84" s="400"/>
      <c r="I84" s="397"/>
      <c r="J84" s="208"/>
      <c r="N84" s="185"/>
      <c r="O84" s="391" t="s">
        <v>522</v>
      </c>
      <c r="P84" s="459">
        <f>P79*P77</f>
        <v>4</v>
      </c>
      <c r="Q84" s="460">
        <f>(60*5+150*3+20*2)*$J$1</f>
        <v>3002</v>
      </c>
      <c r="R84" s="498">
        <f>Q84*P84</f>
        <v>12008</v>
      </c>
      <c r="S84" s="400"/>
      <c r="T84" s="400"/>
      <c r="U84" s="400"/>
      <c r="V84" s="397"/>
      <c r="X84" s="1634">
        <f>P84-C84</f>
        <v>-36</v>
      </c>
      <c r="Y84" s="1634">
        <f>Q84-D84</f>
        <v>2014</v>
      </c>
      <c r="Z84" s="1634">
        <f>R84-E84</f>
        <v>-27512</v>
      </c>
      <c r="AA84" s="1634">
        <f>S84-F84</f>
        <v>0</v>
      </c>
      <c r="AB84" s="456"/>
      <c r="AC84" s="1634">
        <f>U84-H84</f>
        <v>0</v>
      </c>
      <c r="AD84" s="1634">
        <f>V84-I84</f>
        <v>0</v>
      </c>
    </row>
    <row r="85" spans="1:56" ht="15" x14ac:dyDescent="0.25">
      <c r="A85" s="252"/>
      <c r="B85" s="290"/>
      <c r="C85" s="193"/>
      <c r="D85" s="193"/>
      <c r="E85" s="193"/>
      <c r="F85" s="400"/>
      <c r="G85" s="400"/>
      <c r="H85" s="400"/>
      <c r="I85" s="397"/>
      <c r="J85" s="208"/>
      <c r="N85" s="185"/>
      <c r="O85" s="419"/>
      <c r="P85" s="472"/>
      <c r="Q85" s="472"/>
      <c r="R85" s="278">
        <f>SUM(R80:R84)</f>
        <v>167428</v>
      </c>
      <c r="S85" s="278"/>
      <c r="T85" s="456"/>
      <c r="U85" s="278"/>
      <c r="V85" s="279"/>
      <c r="X85" s="461"/>
      <c r="Y85" s="461"/>
      <c r="Z85" s="197">
        <f>SUM(Z78:Z84)</f>
        <v>-104082</v>
      </c>
      <c r="AA85" s="197">
        <f>SUM(AA78:AA84)</f>
        <v>0</v>
      </c>
      <c r="AB85" s="456"/>
      <c r="AC85" s="462"/>
      <c r="AD85" s="197">
        <f>SUM(AD78:AD84)</f>
        <v>0</v>
      </c>
    </row>
    <row r="86" spans="1:56" ht="15" x14ac:dyDescent="0.25">
      <c r="A86" s="252"/>
      <c r="B86" s="419"/>
      <c r="C86" s="420"/>
      <c r="D86" s="420"/>
      <c r="E86" s="278">
        <f>SUM(E80:E84)</f>
        <v>271510</v>
      </c>
      <c r="F86" s="278"/>
      <c r="G86" s="5"/>
      <c r="H86" s="278"/>
      <c r="I86" s="279"/>
      <c r="J86" s="208"/>
      <c r="N86" s="464"/>
      <c r="O86" s="3335" t="s">
        <v>455</v>
      </c>
      <c r="P86" s="3335"/>
      <c r="Q86" s="3335"/>
      <c r="R86" s="3335"/>
      <c r="S86" s="3335"/>
      <c r="T86" s="3335"/>
      <c r="U86" s="3335"/>
      <c r="V86" s="475"/>
      <c r="X86" s="208"/>
      <c r="Y86" s="208"/>
      <c r="Z86" s="208"/>
      <c r="AA86" s="208"/>
      <c r="AB86" s="208"/>
      <c r="AC86" s="208"/>
      <c r="AD86" s="208"/>
    </row>
    <row r="87" spans="1:56" ht="15.75" thickBot="1" x14ac:dyDescent="0.25">
      <c r="A87" s="282"/>
      <c r="B87" s="280" t="s">
        <v>455</v>
      </c>
      <c r="C87" s="431"/>
      <c r="D87" s="431"/>
      <c r="E87" s="431"/>
      <c r="F87" s="431"/>
      <c r="G87" s="431"/>
      <c r="H87" s="431"/>
      <c r="I87" s="398"/>
      <c r="J87" s="208"/>
      <c r="N87" s="200"/>
      <c r="O87" s="3301"/>
      <c r="P87" s="3302"/>
      <c r="Q87" s="3302"/>
      <c r="R87" s="3302"/>
      <c r="S87" s="3302"/>
      <c r="T87" s="3302"/>
      <c r="U87" s="3303"/>
      <c r="V87" s="450"/>
      <c r="X87" s="208"/>
      <c r="Y87" s="208"/>
      <c r="Z87" s="208"/>
      <c r="AA87" s="208"/>
      <c r="AB87" s="208"/>
      <c r="AC87" s="208"/>
      <c r="AD87" s="208"/>
    </row>
    <row r="88" spans="1:56" ht="15.75" thickBot="1" x14ac:dyDescent="0.3">
      <c r="B88" s="250"/>
      <c r="C88" s="44"/>
      <c r="D88" s="44"/>
      <c r="E88" s="239"/>
      <c r="F88" s="239"/>
      <c r="G88" s="240"/>
      <c r="H88" s="44"/>
      <c r="I88" s="44"/>
      <c r="J88" s="205"/>
      <c r="N88" s="208"/>
      <c r="O88" s="208"/>
      <c r="P88" s="208"/>
      <c r="Q88" s="208"/>
      <c r="R88" s="424"/>
      <c r="S88" s="208"/>
      <c r="T88" s="208"/>
      <c r="U88" s="208"/>
      <c r="V88" s="208"/>
      <c r="X88" s="208"/>
      <c r="Y88" s="208"/>
      <c r="Z88" s="208"/>
      <c r="AA88" s="208"/>
      <c r="AB88" s="208"/>
      <c r="AC88" s="208"/>
      <c r="AD88" s="208"/>
    </row>
    <row r="89" spans="1:56" ht="15" x14ac:dyDescent="0.25">
      <c r="A89" s="369">
        <v>9</v>
      </c>
      <c r="B89" s="241" t="s">
        <v>64</v>
      </c>
      <c r="C89" s="3271" t="s">
        <v>474</v>
      </c>
      <c r="D89" s="3271"/>
      <c r="E89" s="3271"/>
      <c r="F89" s="184"/>
      <c r="G89" s="230"/>
      <c r="H89" s="3272" t="s">
        <v>88</v>
      </c>
      <c r="I89" s="3273"/>
      <c r="J89" s="205"/>
      <c r="N89" s="182">
        <v>9</v>
      </c>
      <c r="O89" s="241" t="s">
        <v>64</v>
      </c>
      <c r="P89" s="3274" t="s">
        <v>501</v>
      </c>
      <c r="Q89" s="3275"/>
      <c r="R89" s="3276"/>
      <c r="S89" s="448"/>
      <c r="T89" s="230"/>
      <c r="U89" s="3282" t="s">
        <v>88</v>
      </c>
      <c r="V89" s="3283"/>
      <c r="X89" s="3271" t="s">
        <v>506</v>
      </c>
      <c r="Y89" s="3271"/>
      <c r="Z89" s="3271"/>
      <c r="AA89" s="448"/>
      <c r="AB89" s="451"/>
      <c r="AC89" s="3272" t="s">
        <v>88</v>
      </c>
      <c r="AD89" s="3273"/>
    </row>
    <row r="90" spans="1:56" ht="75" x14ac:dyDescent="0.25">
      <c r="A90" s="252"/>
      <c r="B90" s="187" t="s">
        <v>89</v>
      </c>
      <c r="C90" s="194" t="s">
        <v>54</v>
      </c>
      <c r="D90" s="251" t="s">
        <v>91</v>
      </c>
      <c r="E90" s="251" t="s">
        <v>92</v>
      </c>
      <c r="F90" s="186" t="s">
        <v>106</v>
      </c>
      <c r="G90" s="5"/>
      <c r="H90" s="187" t="s">
        <v>166</v>
      </c>
      <c r="I90" s="188" t="s">
        <v>92</v>
      </c>
      <c r="J90" s="205"/>
      <c r="N90" s="185"/>
      <c r="O90" s="452" t="s">
        <v>89</v>
      </c>
      <c r="P90" s="466" t="s">
        <v>54</v>
      </c>
      <c r="Q90" s="467" t="s">
        <v>508</v>
      </c>
      <c r="R90" s="453" t="s">
        <v>512</v>
      </c>
      <c r="S90" s="453" t="s">
        <v>106</v>
      </c>
      <c r="T90" s="454"/>
      <c r="U90" s="452" t="s">
        <v>166</v>
      </c>
      <c r="V90" s="455" t="s">
        <v>502</v>
      </c>
      <c r="X90" s="453" t="s">
        <v>90</v>
      </c>
      <c r="Y90" s="453" t="s">
        <v>91</v>
      </c>
      <c r="Z90" s="453" t="s">
        <v>507</v>
      </c>
      <c r="AA90" s="453"/>
      <c r="AB90" s="454"/>
      <c r="AC90" s="452" t="s">
        <v>54</v>
      </c>
      <c r="AD90" s="455" t="s">
        <v>507</v>
      </c>
    </row>
    <row r="91" spans="1:56" ht="15" x14ac:dyDescent="0.2">
      <c r="A91" s="252"/>
      <c r="B91" s="468" t="s">
        <v>509</v>
      </c>
      <c r="C91" s="232">
        <v>1</v>
      </c>
      <c r="D91" s="422"/>
      <c r="E91" s="257"/>
      <c r="F91" s="257"/>
      <c r="G91" s="5"/>
      <c r="H91" s="232"/>
      <c r="I91" s="233"/>
      <c r="N91" s="185"/>
      <c r="O91" s="468" t="s">
        <v>509</v>
      </c>
      <c r="P91" s="473">
        <v>1</v>
      </c>
      <c r="Q91" s="332"/>
      <c r="R91" s="469"/>
      <c r="S91" s="469"/>
      <c r="T91" s="456"/>
      <c r="U91" s="470">
        <v>2</v>
      </c>
      <c r="V91" s="471"/>
      <c r="X91" s="1634">
        <f t="shared" ref="X91:AA94" si="24">P91-C91</f>
        <v>0</v>
      </c>
      <c r="Y91" s="1634">
        <f t="shared" si="24"/>
        <v>0</v>
      </c>
      <c r="Z91" s="1634">
        <f t="shared" si="24"/>
        <v>0</v>
      </c>
      <c r="AA91" s="1634">
        <f t="shared" si="24"/>
        <v>0</v>
      </c>
      <c r="AB91" s="456"/>
      <c r="AC91" s="1634">
        <f t="shared" ref="AC91:AD94" si="25">U91-H91</f>
        <v>2</v>
      </c>
      <c r="AD91" s="1634">
        <f t="shared" si="25"/>
        <v>0</v>
      </c>
    </row>
    <row r="92" spans="1:56" ht="15" x14ac:dyDescent="0.2">
      <c r="A92" s="252"/>
      <c r="B92" s="226"/>
      <c r="C92" s="232"/>
      <c r="D92" s="422"/>
      <c r="E92" s="257"/>
      <c r="F92" s="257"/>
      <c r="G92" s="5"/>
      <c r="H92" s="232"/>
      <c r="I92" s="233"/>
      <c r="N92" s="185"/>
      <c r="O92" s="468" t="s">
        <v>510</v>
      </c>
      <c r="P92" s="473">
        <v>1</v>
      </c>
      <c r="Q92" s="332"/>
      <c r="R92" s="469"/>
      <c r="S92" s="469"/>
      <c r="T92" s="456"/>
      <c r="U92" s="470"/>
      <c r="V92" s="471"/>
      <c r="X92" s="1634">
        <f t="shared" si="24"/>
        <v>1</v>
      </c>
      <c r="Y92" s="1634">
        <f t="shared" si="24"/>
        <v>0</v>
      </c>
      <c r="Z92" s="1634">
        <f t="shared" si="24"/>
        <v>0</v>
      </c>
      <c r="AA92" s="1634">
        <f t="shared" si="24"/>
        <v>0</v>
      </c>
      <c r="AB92" s="456"/>
      <c r="AC92" s="1634">
        <f t="shared" si="25"/>
        <v>0</v>
      </c>
      <c r="AD92" s="1634">
        <f t="shared" si="25"/>
        <v>0</v>
      </c>
      <c r="AN92" s="4">
        <f t="shared" ref="AN92:BD92" si="26">SUM(AN2:AN91)</f>
        <v>346978</v>
      </c>
      <c r="AO92" s="4">
        <f t="shared" si="26"/>
        <v>264711.8</v>
      </c>
      <c r="AP92" s="4">
        <f t="shared" si="26"/>
        <v>41028.6</v>
      </c>
      <c r="AQ92" s="4">
        <f t="shared" si="26"/>
        <v>0</v>
      </c>
      <c r="AR92" s="4">
        <f t="shared" si="26"/>
        <v>289085</v>
      </c>
      <c r="AS92" s="4">
        <f t="shared" si="26"/>
        <v>8170</v>
      </c>
      <c r="AT92" s="4">
        <f t="shared" si="26"/>
        <v>0</v>
      </c>
      <c r="AU92" s="4">
        <f t="shared" si="26"/>
        <v>185623</v>
      </c>
      <c r="AV92" s="4">
        <f t="shared" si="26"/>
        <v>0</v>
      </c>
      <c r="AW92" s="4">
        <f t="shared" si="26"/>
        <v>17970.2</v>
      </c>
      <c r="AX92" s="4">
        <f t="shared" si="26"/>
        <v>0</v>
      </c>
      <c r="AY92" s="4">
        <f t="shared" si="26"/>
        <v>255458</v>
      </c>
      <c r="AZ92" s="4" t="e">
        <f t="shared" si="26"/>
        <v>#REF!</v>
      </c>
      <c r="BA92" s="4">
        <f t="shared" si="26"/>
        <v>0</v>
      </c>
      <c r="BB92" s="4">
        <f t="shared" si="26"/>
        <v>52990</v>
      </c>
      <c r="BC92" s="4" t="e">
        <f t="shared" si="26"/>
        <v>#REF!</v>
      </c>
      <c r="BD92" s="4">
        <f t="shared" si="26"/>
        <v>35190</v>
      </c>
    </row>
    <row r="93" spans="1:56" x14ac:dyDescent="0.2">
      <c r="A93" s="252"/>
      <c r="B93" s="226" t="s">
        <v>458</v>
      </c>
      <c r="C93" s="232">
        <v>0.5</v>
      </c>
      <c r="D93" s="422">
        <f>33000*3.8</f>
        <v>125400</v>
      </c>
      <c r="E93" s="257">
        <f>+D93*C93*0.85</f>
        <v>53295</v>
      </c>
      <c r="F93" s="257">
        <f>D93*C93*0.15</f>
        <v>9405</v>
      </c>
      <c r="G93" s="5"/>
      <c r="H93" s="232">
        <v>1</v>
      </c>
      <c r="I93" s="233">
        <f>+H93*D93</f>
        <v>125400</v>
      </c>
      <c r="J93" s="10">
        <f>D93/12</f>
        <v>10450</v>
      </c>
      <c r="N93" s="185"/>
      <c r="O93" s="226" t="s">
        <v>511</v>
      </c>
      <c r="P93" s="232">
        <f>+P91*15+P92*9*0.5</f>
        <v>19.5</v>
      </c>
      <c r="Q93" s="422">
        <f>30000*$J$1/12</f>
        <v>9500</v>
      </c>
      <c r="R93" s="257">
        <f>+Q93*P93*0.85</f>
        <v>157462.5</v>
      </c>
      <c r="S93" s="257">
        <f>+Q93*P93*0.15</f>
        <v>27787.5</v>
      </c>
      <c r="T93" s="456"/>
      <c r="U93" s="232">
        <f>15*U91</f>
        <v>30</v>
      </c>
      <c r="V93" s="474">
        <f>+Q93*U93</f>
        <v>285000</v>
      </c>
      <c r="X93" s="1634">
        <f t="shared" si="24"/>
        <v>19</v>
      </c>
      <c r="Y93" s="1634">
        <f t="shared" si="24"/>
        <v>-115900</v>
      </c>
      <c r="Z93" s="1634">
        <f t="shared" si="24"/>
        <v>104167.5</v>
      </c>
      <c r="AA93" s="1634">
        <f t="shared" si="24"/>
        <v>18382.5</v>
      </c>
      <c r="AB93" s="456"/>
      <c r="AC93" s="1634">
        <f t="shared" si="25"/>
        <v>29</v>
      </c>
      <c r="AD93" s="1634">
        <f t="shared" si="25"/>
        <v>159600</v>
      </c>
      <c r="AN93" s="4"/>
      <c r="AO93" s="4"/>
      <c r="AP93" s="4"/>
      <c r="AQ93" s="4"/>
      <c r="AR93" s="4"/>
      <c r="AS93" s="4"/>
      <c r="AT93" s="4"/>
      <c r="AU93" s="4"/>
      <c r="AV93" s="4"/>
      <c r="AW93" s="4"/>
      <c r="AX93" s="4"/>
      <c r="AY93" s="4"/>
      <c r="AZ93" s="4"/>
      <c r="BA93" s="4"/>
      <c r="BB93" s="4"/>
    </row>
    <row r="94" spans="1:56" x14ac:dyDescent="0.2">
      <c r="A94" s="252"/>
      <c r="B94" s="290" t="s">
        <v>442</v>
      </c>
      <c r="C94" s="232">
        <v>0.5</v>
      </c>
      <c r="D94" s="422">
        <v>22800</v>
      </c>
      <c r="E94" s="257">
        <f>+D94*C94*0.85</f>
        <v>9690</v>
      </c>
      <c r="F94" s="257">
        <f>D94*C94*0.15</f>
        <v>1710</v>
      </c>
      <c r="G94" s="5"/>
      <c r="H94" s="232">
        <v>1</v>
      </c>
      <c r="I94" s="233">
        <f>+H94*D94</f>
        <v>22800</v>
      </c>
      <c r="J94" s="10">
        <f>D94/12</f>
        <v>1900</v>
      </c>
      <c r="N94" s="185"/>
      <c r="O94" s="226" t="s">
        <v>442</v>
      </c>
      <c r="P94" s="232">
        <f>+P91*15+P92*9*0.5</f>
        <v>19.5</v>
      </c>
      <c r="Q94" s="516">
        <v>1900</v>
      </c>
      <c r="R94" s="257">
        <f>+Q94*P94*0.85</f>
        <v>31492.5</v>
      </c>
      <c r="S94" s="257">
        <f>+Q94*P94*0.15</f>
        <v>5557.5</v>
      </c>
      <c r="T94" s="456"/>
      <c r="U94" s="232">
        <f>15*U91</f>
        <v>30</v>
      </c>
      <c r="V94" s="474">
        <f>+Q94*U94</f>
        <v>57000</v>
      </c>
      <c r="X94" s="1634">
        <f t="shared" si="24"/>
        <v>19</v>
      </c>
      <c r="Y94" s="1634">
        <f t="shared" si="24"/>
        <v>-20900</v>
      </c>
      <c r="Z94" s="1634">
        <f t="shared" si="24"/>
        <v>21802.5</v>
      </c>
      <c r="AA94" s="1634">
        <f t="shared" si="24"/>
        <v>3847.5</v>
      </c>
      <c r="AB94" s="456"/>
      <c r="AC94" s="1634">
        <f t="shared" si="25"/>
        <v>29</v>
      </c>
      <c r="AD94" s="1634">
        <f t="shared" si="25"/>
        <v>34200</v>
      </c>
    </row>
    <row r="95" spans="1:56" ht="15" x14ac:dyDescent="0.25">
      <c r="A95" s="252"/>
      <c r="B95" s="419" t="s">
        <v>13</v>
      </c>
      <c r="C95" s="420"/>
      <c r="D95" s="420"/>
      <c r="E95" s="278">
        <f>SUM(E93:E94)</f>
        <v>62985</v>
      </c>
      <c r="F95" s="278">
        <f>SUM(F93:F94)</f>
        <v>11115</v>
      </c>
      <c r="G95" s="5"/>
      <c r="H95" s="278"/>
      <c r="I95" s="279">
        <f>SUM(I93:I94)</f>
        <v>148200</v>
      </c>
      <c r="N95" s="185"/>
      <c r="O95" s="419"/>
      <c r="P95" s="472"/>
      <c r="Q95" s="472"/>
      <c r="R95" s="278">
        <f>SUM(R93:R94)</f>
        <v>188955</v>
      </c>
      <c r="S95" s="278">
        <f>SUM(S93:S94)</f>
        <v>33345</v>
      </c>
      <c r="T95" s="456"/>
      <c r="U95" s="278"/>
      <c r="V95" s="279">
        <f>SUM(V93:V94)</f>
        <v>342000</v>
      </c>
      <c r="X95" s="461"/>
      <c r="Y95" s="461"/>
      <c r="Z95" s="197">
        <f>SUM(Z92:Z94)</f>
        <v>125970</v>
      </c>
      <c r="AA95" s="197">
        <f>SUM(AA92:AA94)</f>
        <v>22230</v>
      </c>
      <c r="AB95" s="456"/>
      <c r="AC95" s="462"/>
      <c r="AD95" s="197">
        <f>SUM(AD92:AD94)</f>
        <v>193800</v>
      </c>
    </row>
    <row r="96" spans="1:56" ht="15.75" thickBot="1" x14ac:dyDescent="0.3">
      <c r="A96" s="375"/>
      <c r="B96" s="3338" t="s">
        <v>475</v>
      </c>
      <c r="C96" s="3338"/>
      <c r="D96" s="3338"/>
      <c r="E96" s="3338"/>
      <c r="F96" s="432"/>
      <c r="G96" s="378"/>
      <c r="H96" s="286"/>
      <c r="I96" s="433"/>
      <c r="N96" s="464"/>
      <c r="O96" s="3337" t="s">
        <v>513</v>
      </c>
      <c r="P96" s="3337"/>
      <c r="Q96" s="3337"/>
      <c r="R96" s="3337"/>
      <c r="S96" s="3337"/>
      <c r="T96" s="3337"/>
      <c r="U96" s="3337"/>
      <c r="V96" s="475"/>
    </row>
    <row r="97" spans="1:30" ht="15.75" thickBot="1" x14ac:dyDescent="0.3">
      <c r="A97" s="365"/>
      <c r="B97" s="366"/>
      <c r="C97" s="367"/>
      <c r="D97" s="367"/>
      <c r="E97" s="273"/>
      <c r="F97" s="273"/>
      <c r="G97" s="368"/>
      <c r="H97" s="206"/>
      <c r="I97" s="204"/>
      <c r="N97" s="200"/>
      <c r="O97" s="3336" t="s">
        <v>514</v>
      </c>
      <c r="P97" s="3336"/>
      <c r="Q97" s="3336"/>
      <c r="R97" s="3336"/>
      <c r="S97" s="3336"/>
      <c r="T97" s="3336"/>
      <c r="U97" s="3336"/>
      <c r="V97" s="450"/>
    </row>
    <row r="98" spans="1:30" ht="15" thickBot="1" x14ac:dyDescent="0.25">
      <c r="A98"/>
      <c r="B98"/>
      <c r="R98" s="91">
        <f>-R95+[5]ברזיל!R99</f>
        <v>0</v>
      </c>
      <c r="S98" s="91">
        <f>-S95+[5]ברזיל!S99</f>
        <v>0</v>
      </c>
      <c r="T98" s="91">
        <f>-T95+[5]ברזיל!T99</f>
        <v>0</v>
      </c>
      <c r="U98" s="91">
        <f>-U95+[5]ברזיל!U99</f>
        <v>0</v>
      </c>
      <c r="V98" s="91">
        <f>-V95+[5]ברזיל!V99</f>
        <v>0</v>
      </c>
    </row>
    <row r="99" spans="1:30" ht="15" x14ac:dyDescent="0.25">
      <c r="A99" s="182">
        <v>17</v>
      </c>
      <c r="B99" s="241" t="s">
        <v>43</v>
      </c>
      <c r="C99" s="3274" t="s">
        <v>501</v>
      </c>
      <c r="D99" s="3275"/>
      <c r="E99" s="3276"/>
      <c r="F99" s="610"/>
      <c r="G99" s="230"/>
      <c r="H99" s="3272" t="s">
        <v>88</v>
      </c>
      <c r="I99" s="3273"/>
      <c r="N99" s="182">
        <v>17</v>
      </c>
      <c r="O99" s="241" t="s">
        <v>43</v>
      </c>
      <c r="P99" s="3274" t="s">
        <v>501</v>
      </c>
      <c r="Q99" s="3275"/>
      <c r="R99" s="3276"/>
      <c r="S99" s="448"/>
      <c r="T99" s="230"/>
      <c r="U99" s="3272" t="s">
        <v>88</v>
      </c>
      <c r="V99" s="3273"/>
      <c r="X99" s="3271" t="s">
        <v>506</v>
      </c>
      <c r="Y99" s="3271"/>
      <c r="Z99" s="3271"/>
      <c r="AA99" s="1583"/>
      <c r="AB99" s="451"/>
      <c r="AC99" s="3272" t="s">
        <v>88</v>
      </c>
      <c r="AD99" s="3273"/>
    </row>
    <row r="100" spans="1:30" ht="60" x14ac:dyDescent="0.25">
      <c r="A100" s="185"/>
      <c r="B100" s="186" t="s">
        <v>89</v>
      </c>
      <c r="C100" s="187" t="s">
        <v>54</v>
      </c>
      <c r="D100" s="186" t="s">
        <v>91</v>
      </c>
      <c r="E100" s="453" t="s">
        <v>502</v>
      </c>
      <c r="F100" s="499" t="s">
        <v>106</v>
      </c>
      <c r="G100" s="456"/>
      <c r="H100" s="187" t="s">
        <v>54</v>
      </c>
      <c r="I100" s="455" t="s">
        <v>502</v>
      </c>
      <c r="N100" s="185"/>
      <c r="O100" s="186" t="s">
        <v>89</v>
      </c>
      <c r="P100" s="187" t="s">
        <v>54</v>
      </c>
      <c r="Q100" s="186" t="s">
        <v>91</v>
      </c>
      <c r="R100" s="453" t="s">
        <v>502</v>
      </c>
      <c r="S100" s="499" t="s">
        <v>106</v>
      </c>
      <c r="T100" s="456"/>
      <c r="U100" s="187" t="s">
        <v>54</v>
      </c>
      <c r="V100" s="455" t="s">
        <v>502</v>
      </c>
      <c r="X100" s="453" t="s">
        <v>90</v>
      </c>
      <c r="Y100" s="453" t="s">
        <v>91</v>
      </c>
      <c r="Z100" s="453" t="s">
        <v>507</v>
      </c>
      <c r="AA100" s="453"/>
      <c r="AB100" s="454"/>
      <c r="AC100" s="452" t="s">
        <v>54</v>
      </c>
      <c r="AD100" s="455" t="s">
        <v>507</v>
      </c>
    </row>
    <row r="101" spans="1:30" ht="15" x14ac:dyDescent="0.25">
      <c r="A101" s="464"/>
      <c r="B101" s="457" t="s">
        <v>527</v>
      </c>
      <c r="C101" s="500"/>
      <c r="D101" s="501"/>
      <c r="E101" s="502"/>
      <c r="F101" s="503"/>
      <c r="G101" s="504"/>
      <c r="H101" s="505"/>
      <c r="I101" s="506"/>
      <c r="N101" s="464"/>
      <c r="O101" s="457" t="s">
        <v>527</v>
      </c>
      <c r="P101" s="500">
        <v>17</v>
      </c>
      <c r="Q101" s="501">
        <f>1000*$J$1</f>
        <v>3800</v>
      </c>
      <c r="R101" s="502">
        <f>Q101*P101</f>
        <v>64600</v>
      </c>
      <c r="S101" s="503"/>
      <c r="T101" s="504"/>
      <c r="U101" s="505"/>
      <c r="V101" s="506"/>
      <c r="X101" s="1634">
        <f t="shared" ref="X101:AA102" si="27">P101-C101</f>
        <v>17</v>
      </c>
      <c r="Y101" s="1634">
        <f t="shared" si="27"/>
        <v>3800</v>
      </c>
      <c r="Z101" s="1634">
        <f t="shared" si="27"/>
        <v>64600</v>
      </c>
      <c r="AA101" s="1634">
        <f t="shared" si="27"/>
        <v>0</v>
      </c>
      <c r="AB101" s="456"/>
      <c r="AC101" s="1634">
        <f>U101-H101</f>
        <v>0</v>
      </c>
      <c r="AD101" s="1634">
        <f>V101-I101</f>
        <v>0</v>
      </c>
    </row>
    <row r="102" spans="1:30" ht="29.25" x14ac:dyDescent="0.25">
      <c r="A102" s="508"/>
      <c r="B102" s="507" t="s">
        <v>528</v>
      </c>
      <c r="C102" s="500"/>
      <c r="D102" s="509"/>
      <c r="E102" s="502"/>
      <c r="F102" s="510"/>
      <c r="G102" s="504"/>
      <c r="H102" s="505"/>
      <c r="I102" s="506"/>
      <c r="N102" s="508"/>
      <c r="O102" s="507" t="s">
        <v>528</v>
      </c>
      <c r="P102" s="500">
        <v>18</v>
      </c>
      <c r="Q102" s="509">
        <f>250*$J$1</f>
        <v>950</v>
      </c>
      <c r="R102" s="502">
        <f>Q102*P102</f>
        <v>17100</v>
      </c>
      <c r="S102" s="510"/>
      <c r="T102" s="504"/>
      <c r="U102" s="505"/>
      <c r="V102" s="506"/>
      <c r="X102" s="1634">
        <f t="shared" si="27"/>
        <v>18</v>
      </c>
      <c r="Y102" s="1634">
        <f t="shared" si="27"/>
        <v>950</v>
      </c>
      <c r="Z102" s="1634">
        <f t="shared" si="27"/>
        <v>17100</v>
      </c>
      <c r="AA102" s="1634">
        <f t="shared" si="27"/>
        <v>0</v>
      </c>
      <c r="AB102" s="456"/>
      <c r="AC102" s="1634">
        <f>U102-H102</f>
        <v>0</v>
      </c>
      <c r="AD102" s="1634">
        <f>V102-I102</f>
        <v>0</v>
      </c>
    </row>
    <row r="103" spans="1:30" ht="15" x14ac:dyDescent="0.25">
      <c r="A103" s="508"/>
      <c r="B103" s="2763"/>
      <c r="C103" s="500"/>
      <c r="D103" s="509"/>
      <c r="E103" s="2764"/>
      <c r="F103" s="510"/>
      <c r="G103" s="504"/>
      <c r="H103" s="505"/>
      <c r="I103" s="506"/>
      <c r="N103" s="508"/>
      <c r="O103" s="2763" t="s">
        <v>776</v>
      </c>
      <c r="P103" s="500">
        <v>1500</v>
      </c>
      <c r="Q103" s="509">
        <v>11.4</v>
      </c>
      <c r="R103" s="502">
        <f>Q103*P103</f>
        <v>17100</v>
      </c>
      <c r="S103" s="510"/>
      <c r="T103" s="504"/>
      <c r="U103" s="505"/>
      <c r="V103" s="506"/>
      <c r="X103" s="2765"/>
      <c r="Y103" s="2765"/>
      <c r="Z103" s="2765"/>
      <c r="AA103" s="2765"/>
      <c r="AB103" s="523"/>
      <c r="AC103" s="2765"/>
      <c r="AD103" s="2766"/>
    </row>
    <row r="104" spans="1:30" ht="15.75" thickBot="1" x14ac:dyDescent="0.3">
      <c r="A104" s="200"/>
      <c r="B104" s="242"/>
      <c r="C104" s="243"/>
      <c r="D104" s="243"/>
      <c r="E104" s="243">
        <f>SUM(E101:E102)</f>
        <v>0</v>
      </c>
      <c r="F104" s="243"/>
      <c r="G104" s="511"/>
      <c r="H104" s="243"/>
      <c r="I104" s="244"/>
      <c r="N104" s="200"/>
      <c r="O104" s="242"/>
      <c r="P104" s="243"/>
      <c r="Q104" s="243"/>
      <c r="R104" s="243">
        <f>SUM(R101:R103)</f>
        <v>98800</v>
      </c>
      <c r="S104" s="243"/>
      <c r="T104" s="511"/>
      <c r="U104" s="243"/>
      <c r="V104" s="244"/>
      <c r="X104" s="243"/>
      <c r="Y104" s="243"/>
      <c r="Z104" s="243">
        <f>SUM(Z101:Z102)</f>
        <v>81700</v>
      </c>
      <c r="AA104" s="243"/>
      <c r="AB104" s="511"/>
      <c r="AC104" s="243"/>
      <c r="AD104" s="244"/>
    </row>
    <row r="105" spans="1:30" x14ac:dyDescent="0.2">
      <c r="E105" s="91"/>
      <c r="N105" s="201"/>
      <c r="O105" s="512"/>
      <c r="P105" s="202"/>
      <c r="Q105" s="202"/>
      <c r="R105" s="1632"/>
      <c r="S105" s="202"/>
      <c r="T105" s="202"/>
      <c r="U105" s="202"/>
      <c r="V105" s="202"/>
    </row>
    <row r="106" spans="1:30" s="208" customFormat="1" ht="15.75" thickBot="1" x14ac:dyDescent="0.3">
      <c r="A106" s="303"/>
      <c r="B106" s="303"/>
      <c r="E106" s="424"/>
      <c r="N106" s="201"/>
      <c r="O106" s="587"/>
      <c r="P106" s="273"/>
      <c r="Q106" s="273"/>
      <c r="R106" s="273"/>
      <c r="S106" s="273"/>
      <c r="T106" s="536"/>
      <c r="U106" s="273"/>
      <c r="V106" s="273"/>
    </row>
    <row r="107" spans="1:30" ht="15" x14ac:dyDescent="0.25">
      <c r="A107" s="369">
        <v>11</v>
      </c>
      <c r="B107" s="211" t="s">
        <v>413</v>
      </c>
      <c r="C107" s="3271" t="s">
        <v>410</v>
      </c>
      <c r="D107" s="3271"/>
      <c r="E107" s="3271"/>
      <c r="F107" s="184"/>
      <c r="G107" s="6"/>
      <c r="H107" s="3272" t="s">
        <v>88</v>
      </c>
      <c r="I107" s="3273"/>
      <c r="N107" s="369">
        <v>11</v>
      </c>
      <c r="O107" s="211" t="s">
        <v>413</v>
      </c>
      <c r="P107" s="3271" t="s">
        <v>410</v>
      </c>
      <c r="Q107" s="3271"/>
      <c r="R107" s="3271"/>
      <c r="S107" s="651"/>
      <c r="T107" s="6"/>
      <c r="U107" s="3272" t="s">
        <v>88</v>
      </c>
      <c r="V107" s="3273"/>
      <c r="X107" s="3271" t="s">
        <v>506</v>
      </c>
      <c r="Y107" s="3271"/>
      <c r="Z107" s="3271"/>
      <c r="AA107" s="1583"/>
      <c r="AB107" s="451"/>
      <c r="AC107" s="3272" t="s">
        <v>88</v>
      </c>
      <c r="AD107" s="3273"/>
    </row>
    <row r="108" spans="1:30" ht="60" x14ac:dyDescent="0.25">
      <c r="A108" s="370"/>
      <c r="B108" s="187" t="s">
        <v>89</v>
      </c>
      <c r="C108" s="187" t="s">
        <v>54</v>
      </c>
      <c r="D108" s="186" t="s">
        <v>91</v>
      </c>
      <c r="E108" s="186" t="s">
        <v>92</v>
      </c>
      <c r="F108" s="186"/>
      <c r="G108" s="5"/>
      <c r="H108" s="187" t="s">
        <v>54</v>
      </c>
      <c r="I108" s="188" t="s">
        <v>92</v>
      </c>
      <c r="N108" s="370"/>
      <c r="O108" s="187" t="s">
        <v>89</v>
      </c>
      <c r="P108" s="187" t="s">
        <v>54</v>
      </c>
      <c r="Q108" s="186" t="s">
        <v>91</v>
      </c>
      <c r="R108" s="186" t="s">
        <v>92</v>
      </c>
      <c r="S108" s="186"/>
      <c r="T108" s="5"/>
      <c r="U108" s="187" t="s">
        <v>54</v>
      </c>
      <c r="V108" s="188" t="s">
        <v>92</v>
      </c>
      <c r="X108" s="453" t="s">
        <v>90</v>
      </c>
      <c r="Y108" s="453" t="s">
        <v>91</v>
      </c>
      <c r="Z108" s="453" t="s">
        <v>507</v>
      </c>
      <c r="AA108" s="453"/>
      <c r="AB108" s="454"/>
      <c r="AC108" s="452" t="s">
        <v>54</v>
      </c>
      <c r="AD108" s="455" t="s">
        <v>507</v>
      </c>
    </row>
    <row r="109" spans="1:30" ht="28.5" x14ac:dyDescent="0.25">
      <c r="A109" s="252"/>
      <c r="B109" s="290" t="s">
        <v>459</v>
      </c>
      <c r="C109" s="68"/>
      <c r="D109" s="68"/>
      <c r="E109" s="291"/>
      <c r="F109" s="291"/>
      <c r="G109" s="5"/>
      <c r="H109" s="68"/>
      <c r="I109" s="386">
        <f>20000</f>
        <v>20000</v>
      </c>
      <c r="N109" s="252"/>
      <c r="O109" s="290" t="s">
        <v>459</v>
      </c>
      <c r="P109" s="68"/>
      <c r="Q109" s="68"/>
      <c r="R109" s="291"/>
      <c r="S109" s="291"/>
      <c r="T109" s="5"/>
      <c r="U109" s="68"/>
      <c r="V109" s="386">
        <f>20000</f>
        <v>20000</v>
      </c>
      <c r="X109" s="1634">
        <f>P109-C109</f>
        <v>0</v>
      </c>
      <c r="Y109" s="1634">
        <f>Q109-D109</f>
        <v>0</v>
      </c>
      <c r="Z109" s="1634">
        <f>R109-E109</f>
        <v>0</v>
      </c>
      <c r="AA109" s="1634">
        <f>S109-F109</f>
        <v>0</v>
      </c>
      <c r="AB109" s="456"/>
      <c r="AC109" s="1634">
        <f>U109-H109</f>
        <v>0</v>
      </c>
      <c r="AD109" s="1634">
        <f>V109-I109</f>
        <v>0</v>
      </c>
    </row>
    <row r="110" spans="1:30" ht="15.75" thickBot="1" x14ac:dyDescent="0.3">
      <c r="A110" s="383"/>
      <c r="B110" s="384" t="s">
        <v>13</v>
      </c>
      <c r="C110" s="234"/>
      <c r="D110" s="234"/>
      <c r="E110" s="235">
        <f>SUM(E109)</f>
        <v>0</v>
      </c>
      <c r="F110" s="235"/>
      <c r="G110" s="236"/>
      <c r="H110" s="237"/>
      <c r="I110" s="238">
        <f>SUM(I109)</f>
        <v>20000</v>
      </c>
      <c r="N110" s="383"/>
      <c r="O110" s="384" t="s">
        <v>13</v>
      </c>
      <c r="P110" s="234"/>
      <c r="Q110" s="234"/>
      <c r="R110" s="235">
        <f>SUM(R109)</f>
        <v>0</v>
      </c>
      <c r="S110" s="235"/>
      <c r="T110" s="236"/>
      <c r="U110" s="237"/>
      <c r="V110" s="238">
        <f>SUM(V109)</f>
        <v>20000</v>
      </c>
      <c r="X110" s="234"/>
      <c r="Y110" s="234"/>
      <c r="Z110" s="235">
        <f>SUM(Z109)</f>
        <v>0</v>
      </c>
      <c r="AA110" s="235"/>
      <c r="AB110" s="236"/>
      <c r="AC110" s="237"/>
      <c r="AD110" s="238">
        <f>SUM(AD109)</f>
        <v>0</v>
      </c>
    </row>
    <row r="111" spans="1:30" x14ac:dyDescent="0.2">
      <c r="E111" s="91"/>
      <c r="N111" s="201"/>
      <c r="O111" s="512"/>
      <c r="P111" s="202"/>
      <c r="Q111" s="202"/>
      <c r="R111" s="202"/>
      <c r="S111" s="202"/>
      <c r="T111" s="202"/>
      <c r="U111" s="202"/>
      <c r="V111" s="202"/>
    </row>
    <row r="112" spans="1:30" x14ac:dyDescent="0.2">
      <c r="E112" s="91"/>
      <c r="N112" s="201"/>
      <c r="O112" s="512"/>
      <c r="P112" s="202"/>
      <c r="Q112" s="202"/>
      <c r="R112" s="202"/>
      <c r="S112" s="202"/>
      <c r="T112" s="202"/>
      <c r="U112" s="202"/>
      <c r="V112" s="202"/>
    </row>
    <row r="113" spans="1:30" x14ac:dyDescent="0.2">
      <c r="E113" s="91"/>
      <c r="N113" s="201"/>
      <c r="O113" s="512"/>
      <c r="P113" s="202"/>
      <c r="Q113" s="202"/>
      <c r="R113" s="202"/>
      <c r="S113" s="202"/>
      <c r="T113" s="202"/>
      <c r="U113" s="202"/>
      <c r="V113" s="202"/>
    </row>
    <row r="114" spans="1:30" ht="15" thickBot="1" x14ac:dyDescent="0.25"/>
    <row r="115" spans="1:30" ht="15.75" thickBot="1" x14ac:dyDescent="0.3">
      <c r="A115" s="621"/>
      <c r="B115" s="622" t="s">
        <v>13</v>
      </c>
      <c r="C115" s="623"/>
      <c r="D115" s="624"/>
      <c r="E115" s="624">
        <f>+E10+E32+E41+E49+E59+E70++E85+E95+E104+E110</f>
        <v>1333594.6000000001</v>
      </c>
      <c r="F115" s="624">
        <f>+F10+F32+F41+F49+F59+F70++F85+F95+F104+F110</f>
        <v>59516.4</v>
      </c>
      <c r="G115" s="624">
        <f>+G10+G32+G41+G49+G59+G70++G85+G95+G104+G110</f>
        <v>0</v>
      </c>
      <c r="H115" s="624">
        <f>+H10+H32+H41+H49+H59+H70++H85+H95+H104+H110</f>
        <v>0</v>
      </c>
      <c r="I115" s="624">
        <f>+I10+I32+I41+I49+I59+I70++I85+I95+I104+I110</f>
        <v>240020</v>
      </c>
      <c r="N115" s="621"/>
      <c r="O115" s="622" t="s">
        <v>13</v>
      </c>
      <c r="P115" s="623"/>
      <c r="Q115" s="624"/>
      <c r="R115" s="624">
        <f>+R10+R32+R41+R49+R59+R70++R85+R95+R104+R110</f>
        <v>1566018.16</v>
      </c>
      <c r="S115" s="624">
        <f>+S10+S32+S41+S49+S59+S70++S85+S95+S104+S110</f>
        <v>93510</v>
      </c>
      <c r="T115" s="624">
        <f>+T10+T32+T41+T49+T59+T70++T85+T95+T104+T110</f>
        <v>0</v>
      </c>
      <c r="U115" s="624">
        <f>+U10+U32+U41+U49+U59+U70++U85+U95+U104+U110</f>
        <v>0</v>
      </c>
      <c r="V115" s="624">
        <f>+V10+V32+V41+V49+V59+V70++V85+V95+V104+V110</f>
        <v>428600</v>
      </c>
      <c r="X115" s="623"/>
      <c r="Y115" s="624"/>
      <c r="Z115" s="624">
        <f>+Z10+Z32+Z41+Z49+Z59+Z70++Z85+Z95+Z104+Z110</f>
        <v>-56186.44</v>
      </c>
      <c r="AA115" s="624">
        <f>+AA10+AA32+AA41+AA49+AA59+AA70++AA85+AA95+AA104+AA110</f>
        <v>33993.599999999999</v>
      </c>
      <c r="AB115" s="624">
        <f>+AB10+AB32+AB41+AB49+AB59+AB70++AB85+AB95+AB104+AB110</f>
        <v>0</v>
      </c>
      <c r="AC115" s="624">
        <f>+AC10+AC32+AC41+AC49+AC59+AC70++AC85+AC95+AC104+AC110</f>
        <v>0</v>
      </c>
      <c r="AD115" s="624">
        <f>+AD10+AD32+AD41+AD49+AD59+AD70++AD85+AD95+AD104+AD110</f>
        <v>188580</v>
      </c>
    </row>
    <row r="117" spans="1:30" x14ac:dyDescent="0.2">
      <c r="R117" s="91"/>
    </row>
    <row r="118" spans="1:30" x14ac:dyDescent="0.2">
      <c r="R118" s="91"/>
    </row>
  </sheetData>
  <mergeCells count="73">
    <mergeCell ref="X107:Z107"/>
    <mergeCell ref="AC107:AD107"/>
    <mergeCell ref="U17:V17"/>
    <mergeCell ref="O33:V33"/>
    <mergeCell ref="X17:Z17"/>
    <mergeCell ref="AC17:AD17"/>
    <mergeCell ref="U44:V44"/>
    <mergeCell ref="X44:Z44"/>
    <mergeCell ref="AC44:AD44"/>
    <mergeCell ref="O87:U87"/>
    <mergeCell ref="X75:Z75"/>
    <mergeCell ref="AC75:AD75"/>
    <mergeCell ref="P107:R107"/>
    <mergeCell ref="U107:V107"/>
    <mergeCell ref="P44:R44"/>
    <mergeCell ref="P99:R99"/>
    <mergeCell ref="X2:Z2"/>
    <mergeCell ref="AC2:AD2"/>
    <mergeCell ref="P89:R89"/>
    <mergeCell ref="U89:V89"/>
    <mergeCell ref="P53:R53"/>
    <mergeCell ref="U53:V53"/>
    <mergeCell ref="O60:U60"/>
    <mergeCell ref="X53:Z53"/>
    <mergeCell ref="AC53:AD53"/>
    <mergeCell ref="P62:R62"/>
    <mergeCell ref="U62:V62"/>
    <mergeCell ref="O71:U71"/>
    <mergeCell ref="O72:U72"/>
    <mergeCell ref="O73:U73"/>
    <mergeCell ref="O14:U14"/>
    <mergeCell ref="P2:R2"/>
    <mergeCell ref="U2:V2"/>
    <mergeCell ref="O11:U11"/>
    <mergeCell ref="O12:U12"/>
    <mergeCell ref="O13:U13"/>
    <mergeCell ref="C53:E53"/>
    <mergeCell ref="H53:I53"/>
    <mergeCell ref="C2:E2"/>
    <mergeCell ref="H2:I2"/>
    <mergeCell ref="B11:H11"/>
    <mergeCell ref="B13:H13"/>
    <mergeCell ref="C17:E17"/>
    <mergeCell ref="H17:I17"/>
    <mergeCell ref="B33:I33"/>
    <mergeCell ref="P17:R17"/>
    <mergeCell ref="C44:E44"/>
    <mergeCell ref="H44:I44"/>
    <mergeCell ref="B96:E96"/>
    <mergeCell ref="C107:E107"/>
    <mergeCell ref="H107:I107"/>
    <mergeCell ref="A60:I60"/>
    <mergeCell ref="C62:E62"/>
    <mergeCell ref="H62:I62"/>
    <mergeCell ref="B71:I71"/>
    <mergeCell ref="C75:E75"/>
    <mergeCell ref="H75:I75"/>
    <mergeCell ref="C99:E99"/>
    <mergeCell ref="H99:I99"/>
    <mergeCell ref="C89:E89"/>
    <mergeCell ref="H89:I89"/>
    <mergeCell ref="U99:V99"/>
    <mergeCell ref="X62:Z62"/>
    <mergeCell ref="AC62:AD62"/>
    <mergeCell ref="P75:R75"/>
    <mergeCell ref="U75:V75"/>
    <mergeCell ref="O86:U86"/>
    <mergeCell ref="O97:U97"/>
    <mergeCell ref="O96:U96"/>
    <mergeCell ref="X89:Z89"/>
    <mergeCell ref="AC89:AD89"/>
    <mergeCell ref="X99:Z99"/>
    <mergeCell ref="AC99:AD99"/>
  </mergeCells>
  <pageMargins left="0.70866141732283505" right="0.70866141732283505" top="0.74803149606299202" bottom="0.74803149606299202" header="0.31496062992126" footer="0.31496062992126"/>
  <pageSetup paperSize="9" scale="79" fitToHeight="0" orientation="portrait" r:id="rId1"/>
  <headerFooter>
    <oddHeader>&amp;L&amp;D&amp;C&amp;A&amp;R&amp;F</oddHeader>
    <oddFooter>&amp;L&amp;P</oddFooter>
  </headerFooter>
  <rowBreaks count="2" manualBreakCount="2">
    <brk id="34" min="13" max="21" man="1"/>
    <brk id="73" min="13" max="21"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22"/>
  <sheetViews>
    <sheetView rightToLeft="1" topLeftCell="K1" zoomScaleNormal="100" zoomScaleSheetLayoutView="100" workbookViewId="0">
      <selection activeCell="AB19" sqref="AB19"/>
    </sheetView>
  </sheetViews>
  <sheetFormatPr defaultRowHeight="14.25" x14ac:dyDescent="0.2"/>
  <cols>
    <col min="1" max="1" width="9" hidden="1" customWidth="1"/>
    <col min="2" max="2" width="26.75" hidden="1" customWidth="1"/>
    <col min="3" max="5" width="9" hidden="1" customWidth="1"/>
    <col min="6" max="6" width="12.5" hidden="1" customWidth="1"/>
    <col min="7" max="7" width="1.375" hidden="1" customWidth="1"/>
    <col min="8" max="8" width="9" hidden="1" customWidth="1"/>
    <col min="9" max="9" width="11" hidden="1" customWidth="1"/>
    <col min="10" max="10" width="9" hidden="1" customWidth="1"/>
    <col min="11" max="11" width="2.25" customWidth="1"/>
    <col min="12" max="12" width="23.75" customWidth="1"/>
    <col min="16" max="16" width="11.375" customWidth="1"/>
    <col min="17" max="17" width="0.875" customWidth="1"/>
    <col min="19" max="19" width="11.375" customWidth="1"/>
    <col min="20" max="20" width="0" hidden="1" customWidth="1"/>
    <col min="21" max="24" width="9" hidden="1" customWidth="1"/>
    <col min="25" max="25" width="1.375" hidden="1" customWidth="1"/>
    <col min="26" max="27" width="9" hidden="1" customWidth="1"/>
  </cols>
  <sheetData>
    <row r="1" spans="1:53" ht="15" thickBot="1" x14ac:dyDescent="0.25"/>
    <row r="2" spans="1:53" ht="15" customHeight="1" x14ac:dyDescent="0.25">
      <c r="A2" s="537"/>
      <c r="B2" s="241" t="s">
        <v>787</v>
      </c>
      <c r="C2" s="3353" t="s">
        <v>788</v>
      </c>
      <c r="D2" s="3354"/>
      <c r="E2" s="3355"/>
      <c r="F2" s="1661"/>
      <c r="G2" s="230"/>
      <c r="H2" s="3272" t="s">
        <v>88</v>
      </c>
      <c r="I2" s="3273"/>
      <c r="J2" s="44"/>
      <c r="K2" s="537"/>
      <c r="L2" s="241" t="s">
        <v>787</v>
      </c>
      <c r="M2" s="3353" t="s">
        <v>788</v>
      </c>
      <c r="N2" s="3354"/>
      <c r="O2" s="3355"/>
      <c r="P2" s="1661"/>
      <c r="Q2" s="230"/>
      <c r="R2" s="3272" t="s">
        <v>88</v>
      </c>
      <c r="S2" s="3273"/>
      <c r="U2" s="3271" t="s">
        <v>506</v>
      </c>
      <c r="V2" s="3271"/>
      <c r="W2" s="3271"/>
      <c r="X2" s="1661"/>
      <c r="Y2" s="451"/>
      <c r="Z2" s="3272" t="s">
        <v>88</v>
      </c>
      <c r="AA2" s="3273"/>
      <c r="AY2" s="44"/>
    </row>
    <row r="3" spans="1:53" ht="75" customHeight="1" x14ac:dyDescent="0.25">
      <c r="A3" s="539"/>
      <c r="B3" s="453" t="s">
        <v>89</v>
      </c>
      <c r="C3" s="453" t="s">
        <v>90</v>
      </c>
      <c r="D3" s="453" t="s">
        <v>91</v>
      </c>
      <c r="E3" s="453" t="s">
        <v>530</v>
      </c>
      <c r="F3" s="453" t="s">
        <v>106</v>
      </c>
      <c r="G3" s="456"/>
      <c r="H3" s="187" t="s">
        <v>54</v>
      </c>
      <c r="I3" s="455" t="s">
        <v>502</v>
      </c>
      <c r="J3" s="44"/>
      <c r="K3" s="539"/>
      <c r="L3" s="453" t="s">
        <v>89</v>
      </c>
      <c r="M3" s="453" t="s">
        <v>90</v>
      </c>
      <c r="N3" s="453" t="s">
        <v>91</v>
      </c>
      <c r="O3" s="453" t="s">
        <v>530</v>
      </c>
      <c r="P3" s="453" t="s">
        <v>106</v>
      </c>
      <c r="Q3" s="456"/>
      <c r="R3" s="187" t="s">
        <v>54</v>
      </c>
      <c r="S3" s="455" t="s">
        <v>502</v>
      </c>
      <c r="U3" s="186" t="s">
        <v>90</v>
      </c>
      <c r="V3" s="186" t="s">
        <v>91</v>
      </c>
      <c r="W3" s="453" t="s">
        <v>507</v>
      </c>
      <c r="X3" s="186"/>
      <c r="Y3" s="456"/>
      <c r="Z3" s="187" t="s">
        <v>54</v>
      </c>
      <c r="AA3" s="455" t="s">
        <v>507</v>
      </c>
      <c r="AY3" s="44"/>
    </row>
    <row r="4" spans="1:53" s="9" customFormat="1" ht="15" x14ac:dyDescent="0.25">
      <c r="A4" s="540"/>
      <c r="B4" s="189" t="s">
        <v>789</v>
      </c>
      <c r="C4" s="190">
        <v>2</v>
      </c>
      <c r="D4" s="1665"/>
      <c r="E4" s="1665"/>
      <c r="F4" s="1666"/>
      <c r="G4" s="514"/>
      <c r="H4" s="1506">
        <v>3</v>
      </c>
      <c r="I4" s="1507"/>
      <c r="J4" s="572"/>
      <c r="K4" s="540"/>
      <c r="L4" s="189" t="s">
        <v>789</v>
      </c>
      <c r="M4" s="190">
        <v>4</v>
      </c>
      <c r="N4" s="1665"/>
      <c r="O4" s="1665"/>
      <c r="P4" s="1666"/>
      <c r="Q4" s="514"/>
      <c r="R4" s="1506">
        <v>5</v>
      </c>
      <c r="S4" s="1507"/>
      <c r="U4" s="527">
        <f>M4-C4</f>
        <v>2</v>
      </c>
      <c r="V4" s="527">
        <f>N4-D4</f>
        <v>0</v>
      </c>
      <c r="W4" s="527">
        <f>O4-E4</f>
        <v>0</v>
      </c>
      <c r="X4" s="527">
        <f>P4-F4</f>
        <v>0</v>
      </c>
      <c r="Y4" s="514"/>
      <c r="Z4" s="527">
        <f t="shared" ref="Z4:Z17" si="0">R4-H4</f>
        <v>2</v>
      </c>
      <c r="AA4" s="527">
        <f t="shared" ref="AA4:AA17" si="1">S4-I4</f>
        <v>0</v>
      </c>
      <c r="AL4" s="441"/>
      <c r="AM4" s="441"/>
      <c r="AN4" s="441"/>
      <c r="AY4" s="572"/>
    </row>
    <row r="5" spans="1:53" ht="15" x14ac:dyDescent="0.25">
      <c r="A5" s="540"/>
      <c r="B5" s="68" t="s">
        <v>790</v>
      </c>
      <c r="C5" s="459">
        <f>C4*6</f>
        <v>12</v>
      </c>
      <c r="D5" s="626">
        <v>7222</v>
      </c>
      <c r="E5" s="460">
        <f>+D5*C5*0.85</f>
        <v>73664.399999999994</v>
      </c>
      <c r="F5" s="541">
        <f>+D5*C5*0.15</f>
        <v>12999.6</v>
      </c>
      <c r="G5" s="456"/>
      <c r="H5" s="524">
        <f>6*H4</f>
        <v>18</v>
      </c>
      <c r="I5" s="1662">
        <f>+H5*D5</f>
        <v>129996</v>
      </c>
      <c r="J5" s="407">
        <v>4</v>
      </c>
      <c r="K5" s="540"/>
      <c r="L5" s="68" t="s">
        <v>790</v>
      </c>
      <c r="M5" s="459">
        <f>9*M4</f>
        <v>36</v>
      </c>
      <c r="N5" s="460">
        <f>D5</f>
        <v>7222</v>
      </c>
      <c r="O5" s="460">
        <f>+N5*M5*0.85</f>
        <v>220993.19999999998</v>
      </c>
      <c r="P5" s="541">
        <f>+N5*M5*0.15</f>
        <v>38998.799999999996</v>
      </c>
      <c r="Q5" s="456"/>
      <c r="R5" s="524">
        <f>9*R4</f>
        <v>45</v>
      </c>
      <c r="S5" s="1662">
        <f>+R5*N5</f>
        <v>324990</v>
      </c>
      <c r="U5" s="516">
        <f t="shared" ref="U5:U17" si="2">M5-C5</f>
        <v>24</v>
      </c>
      <c r="V5" s="516">
        <f t="shared" ref="V5:V17" si="3">N5-D5</f>
        <v>0</v>
      </c>
      <c r="W5" s="516">
        <f t="shared" ref="W5:W17" si="4">O5-E5</f>
        <v>147328.79999999999</v>
      </c>
      <c r="X5" s="516">
        <f t="shared" ref="X5:X17" si="5">P5-F5</f>
        <v>25999.199999999997</v>
      </c>
      <c r="Y5" s="456"/>
      <c r="Z5" s="516">
        <f t="shared" si="0"/>
        <v>27</v>
      </c>
      <c r="AA5" s="516">
        <f t="shared" si="1"/>
        <v>194994</v>
      </c>
      <c r="AL5" s="91">
        <f>E5</f>
        <v>73664.399999999994</v>
      </c>
      <c r="AM5" s="91"/>
      <c r="AN5" s="91"/>
      <c r="AY5" s="44"/>
    </row>
    <row r="6" spans="1:53" ht="15" x14ac:dyDescent="0.25">
      <c r="A6" s="540"/>
      <c r="B6" s="68" t="s">
        <v>791</v>
      </c>
      <c r="C6" s="459">
        <f>C5</f>
        <v>12</v>
      </c>
      <c r="D6" s="626">
        <v>2500</v>
      </c>
      <c r="E6" s="460">
        <f>+D6*C6*0.85</f>
        <v>25500</v>
      </c>
      <c r="F6" s="541">
        <f>+D6*C6*0.15</f>
        <v>4500</v>
      </c>
      <c r="G6" s="456"/>
      <c r="H6" s="524">
        <f>+H4*6</f>
        <v>18</v>
      </c>
      <c r="I6" s="1662">
        <f>+H6*D6</f>
        <v>45000</v>
      </c>
      <c r="J6" s="44"/>
      <c r="K6" s="540"/>
      <c r="L6" s="68" t="s">
        <v>791</v>
      </c>
      <c r="M6" s="459">
        <f>9*M4</f>
        <v>36</v>
      </c>
      <c r="N6" s="460">
        <v>1250</v>
      </c>
      <c r="O6" s="460">
        <f>+N6*M6*0.85</f>
        <v>38250</v>
      </c>
      <c r="P6" s="541">
        <f>+N6*M6*0.15</f>
        <v>6750</v>
      </c>
      <c r="Q6" s="456"/>
      <c r="R6" s="524">
        <f>+R4*9</f>
        <v>45</v>
      </c>
      <c r="S6" s="1662">
        <f>+R6*N6</f>
        <v>56250</v>
      </c>
      <c r="U6" s="516">
        <f t="shared" si="2"/>
        <v>24</v>
      </c>
      <c r="V6" s="516">
        <f t="shared" si="3"/>
        <v>-1250</v>
      </c>
      <c r="W6" s="516">
        <f t="shared" si="4"/>
        <v>12750</v>
      </c>
      <c r="X6" s="516">
        <f t="shared" si="5"/>
        <v>2250</v>
      </c>
      <c r="Y6" s="456"/>
      <c r="Z6" s="516">
        <f t="shared" si="0"/>
        <v>27</v>
      </c>
      <c r="AA6" s="516">
        <f t="shared" si="1"/>
        <v>11250</v>
      </c>
      <c r="AL6" s="91"/>
      <c r="AM6" s="91" t="e">
        <f>+(180)*#REF!*C6</f>
        <v>#REF!</v>
      </c>
      <c r="AN6" s="91" t="e">
        <f>+(50)*#REF!*C6</f>
        <v>#REF!</v>
      </c>
      <c r="AY6" s="44"/>
      <c r="AZ6" s="91" t="e">
        <f>+(200)*#REF!*C6</f>
        <v>#REF!</v>
      </c>
      <c r="BA6" s="91"/>
    </row>
    <row r="7" spans="1:53" s="9" customFormat="1" ht="15" x14ac:dyDescent="0.25">
      <c r="A7" s="539"/>
      <c r="B7" s="189" t="s">
        <v>792</v>
      </c>
      <c r="C7" s="190">
        <v>5</v>
      </c>
      <c r="D7" s="1665"/>
      <c r="E7" s="1665"/>
      <c r="F7" s="1666"/>
      <c r="G7" s="514"/>
      <c r="H7" s="1506">
        <v>7</v>
      </c>
      <c r="I7" s="1507"/>
      <c r="J7" s="572"/>
      <c r="K7" s="539"/>
      <c r="L7" s="189" t="s">
        <v>792</v>
      </c>
      <c r="M7" s="190">
        <v>4</v>
      </c>
      <c r="N7" s="1665"/>
      <c r="O7" s="1665"/>
      <c r="P7" s="1666"/>
      <c r="Q7" s="514"/>
      <c r="R7" s="1506">
        <v>6</v>
      </c>
      <c r="S7" s="1507"/>
      <c r="U7" s="527">
        <f t="shared" si="2"/>
        <v>-1</v>
      </c>
      <c r="V7" s="527">
        <f t="shared" si="3"/>
        <v>0</v>
      </c>
      <c r="W7" s="527">
        <f t="shared" si="4"/>
        <v>0</v>
      </c>
      <c r="X7" s="527">
        <f t="shared" si="5"/>
        <v>0</v>
      </c>
      <c r="Y7" s="514"/>
      <c r="Z7" s="527">
        <f t="shared" si="0"/>
        <v>-1</v>
      </c>
      <c r="AA7" s="527">
        <f t="shared" si="1"/>
        <v>0</v>
      </c>
      <c r="AS7" s="441">
        <f>E7</f>
        <v>0</v>
      </c>
    </row>
    <row r="8" spans="1:53" ht="15" x14ac:dyDescent="0.25">
      <c r="A8" s="539"/>
      <c r="B8" s="68" t="s">
        <v>790</v>
      </c>
      <c r="C8" s="459">
        <f>C7*6</f>
        <v>30</v>
      </c>
      <c r="D8" s="626">
        <v>7667</v>
      </c>
      <c r="E8" s="460">
        <f>+D8*C8*0.85</f>
        <v>195508.5</v>
      </c>
      <c r="F8" s="541">
        <f>+D8*C8*0.15</f>
        <v>34501.5</v>
      </c>
      <c r="G8" s="456"/>
      <c r="H8" s="524">
        <f>6*H7</f>
        <v>42</v>
      </c>
      <c r="I8" s="1662">
        <f>+H8*D8</f>
        <v>322014</v>
      </c>
      <c r="J8" s="44">
        <v>14</v>
      </c>
      <c r="K8" s="539"/>
      <c r="L8" s="68" t="s">
        <v>790</v>
      </c>
      <c r="M8" s="459">
        <f>9*M7</f>
        <v>36</v>
      </c>
      <c r="N8" s="460">
        <v>7667</v>
      </c>
      <c r="O8" s="460">
        <f>+N8*M8*0.85</f>
        <v>234610.19999999998</v>
      </c>
      <c r="P8" s="541">
        <f>+N8*M8*0.15</f>
        <v>41401.799999999996</v>
      </c>
      <c r="Q8" s="456"/>
      <c r="R8" s="524">
        <f>9*R7</f>
        <v>54</v>
      </c>
      <c r="S8" s="1662">
        <f>+R8*N8</f>
        <v>414018</v>
      </c>
      <c r="U8" s="516">
        <f t="shared" si="2"/>
        <v>6</v>
      </c>
      <c r="V8" s="516">
        <f t="shared" si="3"/>
        <v>0</v>
      </c>
      <c r="W8" s="516">
        <f t="shared" si="4"/>
        <v>39101.699999999983</v>
      </c>
      <c r="X8" s="516">
        <f t="shared" si="5"/>
        <v>6900.2999999999956</v>
      </c>
      <c r="Y8" s="456"/>
      <c r="Z8" s="516">
        <f t="shared" si="0"/>
        <v>12</v>
      </c>
      <c r="AA8" s="516">
        <f t="shared" si="1"/>
        <v>92004</v>
      </c>
      <c r="AY8" s="44"/>
      <c r="BA8" s="91">
        <f>E8</f>
        <v>195508.5</v>
      </c>
    </row>
    <row r="9" spans="1:53" ht="15" x14ac:dyDescent="0.25">
      <c r="A9" s="539"/>
      <c r="B9" s="68" t="s">
        <v>791</v>
      </c>
      <c r="C9" s="459">
        <f>C8</f>
        <v>30</v>
      </c>
      <c r="D9" s="626">
        <v>1250</v>
      </c>
      <c r="E9" s="460">
        <f>+D9*C9*0.85</f>
        <v>31875</v>
      </c>
      <c r="F9" s="541">
        <f>+D9*C9*0.15</f>
        <v>5625</v>
      </c>
      <c r="G9" s="456"/>
      <c r="H9" s="524">
        <f>+H7*6</f>
        <v>42</v>
      </c>
      <c r="I9" s="1662">
        <f>+H9*D9</f>
        <v>52500</v>
      </c>
      <c r="J9" s="44"/>
      <c r="K9" s="539"/>
      <c r="L9" s="68" t="s">
        <v>791</v>
      </c>
      <c r="M9" s="459">
        <f>9*M7</f>
        <v>36</v>
      </c>
      <c r="N9" s="460">
        <v>1250</v>
      </c>
      <c r="O9" s="460">
        <f>+N9*M9*0.85</f>
        <v>38250</v>
      </c>
      <c r="P9" s="541">
        <f>+N9*M9*0.15</f>
        <v>6750</v>
      </c>
      <c r="Q9" s="456"/>
      <c r="R9" s="524">
        <f>+R7*9</f>
        <v>54</v>
      </c>
      <c r="S9" s="1662">
        <f>+R9*N9</f>
        <v>67500</v>
      </c>
      <c r="U9" s="516">
        <f t="shared" si="2"/>
        <v>6</v>
      </c>
      <c r="V9" s="516">
        <f t="shared" si="3"/>
        <v>0</v>
      </c>
      <c r="W9" s="516">
        <f t="shared" si="4"/>
        <v>6375</v>
      </c>
      <c r="X9" s="516">
        <f t="shared" si="5"/>
        <v>1125</v>
      </c>
      <c r="Y9" s="456"/>
      <c r="Z9" s="516">
        <f t="shared" si="0"/>
        <v>12</v>
      </c>
      <c r="AA9" s="516">
        <f t="shared" si="1"/>
        <v>15000</v>
      </c>
      <c r="AY9" s="44"/>
    </row>
    <row r="10" spans="1:53" ht="15" x14ac:dyDescent="0.25">
      <c r="A10" s="539"/>
      <c r="B10" s="68" t="s">
        <v>795</v>
      </c>
      <c r="C10" s="626">
        <v>89.75</v>
      </c>
      <c r="D10" s="626">
        <v>121</v>
      </c>
      <c r="E10" s="460">
        <f>+D10*C10*0.85</f>
        <v>9230.7875000000004</v>
      </c>
      <c r="F10" s="541">
        <f>+D10*C10*0.15</f>
        <v>1628.9624999999999</v>
      </c>
      <c r="G10" s="456"/>
      <c r="H10" s="524">
        <v>126</v>
      </c>
      <c r="I10" s="1662">
        <f>+H10*D10</f>
        <v>15246</v>
      </c>
      <c r="J10" s="44"/>
      <c r="K10" s="539"/>
      <c r="L10" s="68"/>
      <c r="M10" s="459"/>
      <c r="N10" s="460"/>
      <c r="O10" s="460"/>
      <c r="P10" s="541"/>
      <c r="Q10" s="456"/>
      <c r="R10" s="524"/>
      <c r="S10" s="1662"/>
      <c r="U10" s="516">
        <f t="shared" si="2"/>
        <v>-89.75</v>
      </c>
      <c r="V10" s="516">
        <f t="shared" si="3"/>
        <v>-121</v>
      </c>
      <c r="W10" s="516">
        <f t="shared" si="4"/>
        <v>-9230.7875000000004</v>
      </c>
      <c r="X10" s="516">
        <f t="shared" si="5"/>
        <v>-1628.9624999999999</v>
      </c>
      <c r="Y10" s="456"/>
      <c r="Z10" s="516">
        <f t="shared" si="0"/>
        <v>-126</v>
      </c>
      <c r="AA10" s="516">
        <f t="shared" si="1"/>
        <v>-15246</v>
      </c>
      <c r="AY10" s="44"/>
    </row>
    <row r="11" spans="1:53" s="9" customFormat="1" ht="30" x14ac:dyDescent="0.25">
      <c r="A11" s="539"/>
      <c r="B11" s="189" t="s">
        <v>793</v>
      </c>
      <c r="C11" s="190">
        <v>1</v>
      </c>
      <c r="D11" s="1665"/>
      <c r="E11" s="1665"/>
      <c r="F11" s="1666"/>
      <c r="G11" s="514"/>
      <c r="H11" s="1506">
        <v>1.5</v>
      </c>
      <c r="I11" s="1507"/>
      <c r="K11" s="539"/>
      <c r="L11" s="189" t="s">
        <v>793</v>
      </c>
      <c r="M11" s="190">
        <v>1</v>
      </c>
      <c r="N11" s="1665"/>
      <c r="O11" s="1665"/>
      <c r="P11" s="1666"/>
      <c r="Q11" s="514"/>
      <c r="R11" s="1506">
        <v>3</v>
      </c>
      <c r="S11" s="1507"/>
      <c r="U11" s="527">
        <f t="shared" si="2"/>
        <v>0</v>
      </c>
      <c r="V11" s="527">
        <f t="shared" si="3"/>
        <v>0</v>
      </c>
      <c r="W11" s="527">
        <f t="shared" si="4"/>
        <v>0</v>
      </c>
      <c r="X11" s="527">
        <f t="shared" si="5"/>
        <v>0</v>
      </c>
      <c r="Y11" s="514"/>
      <c r="Z11" s="527">
        <f t="shared" si="0"/>
        <v>1.5</v>
      </c>
      <c r="AA11" s="527">
        <f t="shared" si="1"/>
        <v>0</v>
      </c>
    </row>
    <row r="12" spans="1:53" ht="15" x14ac:dyDescent="0.25">
      <c r="A12" s="539"/>
      <c r="B12" s="68" t="s">
        <v>790</v>
      </c>
      <c r="C12" s="459">
        <f>C11*6</f>
        <v>6</v>
      </c>
      <c r="D12" s="626">
        <v>7667</v>
      </c>
      <c r="E12" s="460">
        <f>+D12*C12*0.85</f>
        <v>39101.699999999997</v>
      </c>
      <c r="F12" s="541">
        <f>+D12*C12*0.15</f>
        <v>6900.3</v>
      </c>
      <c r="G12" s="456"/>
      <c r="H12" s="68">
        <f>H11*6</f>
        <v>9</v>
      </c>
      <c r="I12" s="1662">
        <f>+H12*D12</f>
        <v>69003</v>
      </c>
      <c r="K12" s="539"/>
      <c r="L12" s="68" t="s">
        <v>790</v>
      </c>
      <c r="M12" s="459">
        <f>9*M11</f>
        <v>9</v>
      </c>
      <c r="N12" s="460">
        <v>7667</v>
      </c>
      <c r="O12" s="460">
        <f>+N12*M12*0.85</f>
        <v>58652.549999999996</v>
      </c>
      <c r="P12" s="541">
        <f>+N12*M12*0.15</f>
        <v>10350.449999999999</v>
      </c>
      <c r="Q12" s="456"/>
      <c r="R12" s="524">
        <f>9*R11</f>
        <v>27</v>
      </c>
      <c r="S12" s="1662">
        <f>+R12*N12</f>
        <v>207009</v>
      </c>
      <c r="U12" s="516">
        <f t="shared" si="2"/>
        <v>3</v>
      </c>
      <c r="V12" s="516">
        <f t="shared" si="3"/>
        <v>0</v>
      </c>
      <c r="W12" s="516">
        <f t="shared" si="4"/>
        <v>19550.849999999999</v>
      </c>
      <c r="X12" s="516">
        <f t="shared" si="5"/>
        <v>3450.1499999999987</v>
      </c>
      <c r="Y12" s="456"/>
      <c r="Z12" s="516">
        <f t="shared" si="0"/>
        <v>18</v>
      </c>
      <c r="AA12" s="516">
        <f t="shared" si="1"/>
        <v>138006</v>
      </c>
    </row>
    <row r="13" spans="1:53" ht="15" x14ac:dyDescent="0.25">
      <c r="A13" s="539"/>
      <c r="B13" s="68" t="s">
        <v>791</v>
      </c>
      <c r="C13" s="459">
        <v>6</v>
      </c>
      <c r="D13" s="626">
        <v>1250</v>
      </c>
      <c r="E13" s="460">
        <f>+D13*C13*0.85</f>
        <v>6375</v>
      </c>
      <c r="F13" s="541">
        <f>+D13*C13*0.15</f>
        <v>1125</v>
      </c>
      <c r="G13" s="456"/>
      <c r="H13" s="68">
        <f>H11*6</f>
        <v>9</v>
      </c>
      <c r="I13" s="1662">
        <f>+H13*D13</f>
        <v>11250</v>
      </c>
      <c r="K13" s="539"/>
      <c r="L13" s="68" t="s">
        <v>791</v>
      </c>
      <c r="M13" s="459">
        <f>9*M11</f>
        <v>9</v>
      </c>
      <c r="N13" s="460">
        <v>1250</v>
      </c>
      <c r="O13" s="460">
        <f>+N13*M13*0.85</f>
        <v>9562.5</v>
      </c>
      <c r="P13" s="541">
        <f>+N13*M13*0.15</f>
        <v>1687.5</v>
      </c>
      <c r="Q13" s="456"/>
      <c r="R13" s="524">
        <f>+R11*9</f>
        <v>27</v>
      </c>
      <c r="S13" s="1662">
        <f>+R13*N13</f>
        <v>33750</v>
      </c>
      <c r="U13" s="516">
        <f t="shared" si="2"/>
        <v>3</v>
      </c>
      <c r="V13" s="516">
        <f t="shared" si="3"/>
        <v>0</v>
      </c>
      <c r="W13" s="516">
        <f t="shared" si="4"/>
        <v>3187.5</v>
      </c>
      <c r="X13" s="516">
        <f t="shared" si="5"/>
        <v>562.5</v>
      </c>
      <c r="Y13" s="456"/>
      <c r="Z13" s="516">
        <f t="shared" si="0"/>
        <v>18</v>
      </c>
      <c r="AA13" s="516">
        <f t="shared" si="1"/>
        <v>22500</v>
      </c>
    </row>
    <row r="14" spans="1:53" s="9" customFormat="1" ht="30" x14ac:dyDescent="0.25">
      <c r="A14" s="539"/>
      <c r="B14" s="189" t="s">
        <v>796</v>
      </c>
      <c r="C14" s="1664"/>
      <c r="D14" s="630"/>
      <c r="E14" s="1665"/>
      <c r="F14" s="1666"/>
      <c r="G14" s="514"/>
      <c r="H14" s="445">
        <v>8.5</v>
      </c>
      <c r="I14" s="1667"/>
      <c r="K14" s="539"/>
      <c r="L14" s="189" t="s">
        <v>796</v>
      </c>
      <c r="M14" s="1664"/>
      <c r="N14" s="630"/>
      <c r="O14" s="1665"/>
      <c r="P14" s="1666"/>
      <c r="Q14" s="514"/>
      <c r="R14" s="445">
        <v>7</v>
      </c>
      <c r="S14" s="1667"/>
      <c r="U14" s="527">
        <f t="shared" si="2"/>
        <v>0</v>
      </c>
      <c r="V14" s="527">
        <f t="shared" si="3"/>
        <v>0</v>
      </c>
      <c r="W14" s="527">
        <f t="shared" si="4"/>
        <v>0</v>
      </c>
      <c r="X14" s="527">
        <f t="shared" si="5"/>
        <v>0</v>
      </c>
      <c r="Y14" s="514"/>
      <c r="Z14" s="527">
        <f t="shared" si="0"/>
        <v>-1.5</v>
      </c>
      <c r="AA14" s="527">
        <f t="shared" si="1"/>
        <v>0</v>
      </c>
    </row>
    <row r="15" spans="1:53" ht="15" x14ac:dyDescent="0.25">
      <c r="A15" s="539"/>
      <c r="B15" s="68"/>
      <c r="C15" s="459"/>
      <c r="D15" s="626">
        <v>7667</v>
      </c>
      <c r="E15" s="460">
        <f>+D15*C15*0.85</f>
        <v>0</v>
      </c>
      <c r="F15" s="541">
        <f>+D15*C15*0.15</f>
        <v>0</v>
      </c>
      <c r="G15" s="456"/>
      <c r="H15" s="68">
        <f>H14*6</f>
        <v>51</v>
      </c>
      <c r="I15" s="1662">
        <f>+H15*D15</f>
        <v>391017</v>
      </c>
      <c r="K15" s="539"/>
      <c r="L15" s="68"/>
      <c r="M15" s="459"/>
      <c r="N15" s="626">
        <v>7667</v>
      </c>
      <c r="O15" s="460">
        <f>+N15*M15*0.85</f>
        <v>0</v>
      </c>
      <c r="P15" s="541">
        <f>+N15*M15*0.15</f>
        <v>0</v>
      </c>
      <c r="Q15" s="456"/>
      <c r="R15" s="68">
        <f>R14*9</f>
        <v>63</v>
      </c>
      <c r="S15" s="1662">
        <f>+R15*N15</f>
        <v>483021</v>
      </c>
      <c r="U15" s="516">
        <f t="shared" si="2"/>
        <v>0</v>
      </c>
      <c r="V15" s="516">
        <f t="shared" si="3"/>
        <v>0</v>
      </c>
      <c r="W15" s="516">
        <f t="shared" si="4"/>
        <v>0</v>
      </c>
      <c r="X15" s="516">
        <f t="shared" si="5"/>
        <v>0</v>
      </c>
      <c r="Y15" s="456"/>
      <c r="Z15" s="516">
        <f t="shared" si="0"/>
        <v>12</v>
      </c>
      <c r="AA15" s="516">
        <f t="shared" si="1"/>
        <v>92004</v>
      </c>
    </row>
    <row r="16" spans="1:53" ht="15" x14ac:dyDescent="0.25">
      <c r="A16" s="539"/>
      <c r="B16" s="68"/>
      <c r="C16" s="459"/>
      <c r="D16" s="626">
        <v>1250</v>
      </c>
      <c r="E16" s="460">
        <f>+D16*C16*0.85</f>
        <v>0</v>
      </c>
      <c r="F16" s="541">
        <f>+D16*C16*0.15</f>
        <v>0</v>
      </c>
      <c r="G16" s="456"/>
      <c r="H16" s="68">
        <f>H15</f>
        <v>51</v>
      </c>
      <c r="I16" s="1662">
        <f>+H16*D16</f>
        <v>63750</v>
      </c>
      <c r="K16" s="539"/>
      <c r="L16" s="68"/>
      <c r="M16" s="459"/>
      <c r="N16" s="626">
        <v>1250</v>
      </c>
      <c r="O16" s="460">
        <f>+N16*M16*0.85</f>
        <v>0</v>
      </c>
      <c r="P16" s="541">
        <f>+N16*M16*0.15</f>
        <v>0</v>
      </c>
      <c r="Q16" s="456"/>
      <c r="R16" s="68">
        <f>R15</f>
        <v>63</v>
      </c>
      <c r="S16" s="1662">
        <f>+R16*N16</f>
        <v>78750</v>
      </c>
      <c r="U16" s="516">
        <f t="shared" si="2"/>
        <v>0</v>
      </c>
      <c r="V16" s="516">
        <f t="shared" si="3"/>
        <v>0</v>
      </c>
      <c r="W16" s="516">
        <f t="shared" si="4"/>
        <v>0</v>
      </c>
      <c r="X16" s="516">
        <f t="shared" si="5"/>
        <v>0</v>
      </c>
      <c r="Y16" s="456"/>
      <c r="Z16" s="516">
        <f t="shared" si="0"/>
        <v>12</v>
      </c>
      <c r="AA16" s="516">
        <f t="shared" si="1"/>
        <v>15000</v>
      </c>
    </row>
    <row r="17" spans="1:27" ht="15" x14ac:dyDescent="0.25">
      <c r="A17" s="539"/>
      <c r="B17" s="68"/>
      <c r="C17" s="459"/>
      <c r="D17" s="626"/>
      <c r="E17" s="460"/>
      <c r="F17" s="541"/>
      <c r="G17" s="456"/>
      <c r="H17" s="68"/>
      <c r="I17" s="1662"/>
      <c r="K17" s="539"/>
      <c r="L17" s="68"/>
      <c r="M17" s="459"/>
      <c r="N17" s="626"/>
      <c r="O17" s="460"/>
      <c r="P17" s="541"/>
      <c r="Q17" s="456"/>
      <c r="R17" s="68"/>
      <c r="S17" s="1662"/>
      <c r="U17" s="516">
        <f t="shared" si="2"/>
        <v>0</v>
      </c>
      <c r="V17" s="516">
        <f t="shared" si="3"/>
        <v>0</v>
      </c>
      <c r="W17" s="516">
        <f t="shared" si="4"/>
        <v>0</v>
      </c>
      <c r="X17" s="516">
        <f t="shared" si="5"/>
        <v>0</v>
      </c>
      <c r="Y17" s="456"/>
      <c r="Z17" s="516">
        <f t="shared" si="0"/>
        <v>0</v>
      </c>
      <c r="AA17" s="516">
        <f t="shared" si="1"/>
        <v>0</v>
      </c>
    </row>
    <row r="18" spans="1:27" ht="15" x14ac:dyDescent="0.25">
      <c r="A18" s="494"/>
      <c r="B18" s="542" t="s">
        <v>13</v>
      </c>
      <c r="C18" s="277"/>
      <c r="D18" s="277"/>
      <c r="E18" s="1663">
        <f t="shared" ref="E18:I18" si="6">SUM(E5:E17)</f>
        <v>381255.38750000001</v>
      </c>
      <c r="F18" s="1663">
        <f t="shared" si="6"/>
        <v>67280.362500000003</v>
      </c>
      <c r="G18" s="1663">
        <f t="shared" si="6"/>
        <v>0</v>
      </c>
      <c r="H18" s="1663">
        <f t="shared" si="6"/>
        <v>383</v>
      </c>
      <c r="I18" s="1663">
        <f t="shared" si="6"/>
        <v>1099776</v>
      </c>
      <c r="K18" s="494"/>
      <c r="L18" s="542" t="s">
        <v>13</v>
      </c>
      <c r="M18" s="277"/>
      <c r="N18" s="277"/>
      <c r="O18" s="277">
        <f t="shared" ref="O18:P18" si="7">SUM(O5:O17)</f>
        <v>600318.44999999995</v>
      </c>
      <c r="P18" s="277">
        <f t="shared" si="7"/>
        <v>105938.54999999999</v>
      </c>
      <c r="Q18" s="456"/>
      <c r="R18" s="278"/>
      <c r="S18" s="1663">
        <f>SUM(S5:S17)</f>
        <v>1665288</v>
      </c>
      <c r="U18" s="277"/>
      <c r="V18" s="277"/>
      <c r="W18" s="277">
        <f t="shared" ref="W18:AA18" si="8">SUM(W5:W17)</f>
        <v>219063.06249999997</v>
      </c>
      <c r="X18" s="277">
        <f t="shared" si="8"/>
        <v>38658.187499999993</v>
      </c>
      <c r="Y18" s="456">
        <f t="shared" si="8"/>
        <v>0</v>
      </c>
      <c r="Z18" s="278">
        <f t="shared" si="8"/>
        <v>11</v>
      </c>
      <c r="AA18" s="1663">
        <f t="shared" si="8"/>
        <v>565512</v>
      </c>
    </row>
    <row r="19" spans="1:27" ht="53.25" customHeight="1" thickBot="1" x14ac:dyDescent="0.3">
      <c r="A19" s="543"/>
      <c r="B19" s="3356"/>
      <c r="C19" s="3357"/>
      <c r="D19" s="3357"/>
      <c r="E19" s="3357"/>
      <c r="F19" s="3357"/>
      <c r="G19" s="3357"/>
      <c r="H19" s="3358"/>
      <c r="I19" s="2658"/>
      <c r="J19" s="208"/>
      <c r="K19" s="543"/>
      <c r="L19" s="3356" t="s">
        <v>794</v>
      </c>
      <c r="M19" s="3357"/>
      <c r="N19" s="3357"/>
      <c r="O19" s="3357"/>
      <c r="P19" s="3357"/>
      <c r="Q19" s="3357"/>
      <c r="R19" s="3358"/>
      <c r="S19" s="544"/>
    </row>
    <row r="20" spans="1:27" x14ac:dyDescent="0.2">
      <c r="E20" s="91"/>
      <c r="F20" s="91"/>
      <c r="I20" s="91"/>
    </row>
    <row r="22" spans="1:27" s="9" customFormat="1" ht="15" x14ac:dyDescent="0.25">
      <c r="C22" s="9">
        <f>C4+C7+C11+C14</f>
        <v>8</v>
      </c>
      <c r="F22" s="9" t="s">
        <v>797</v>
      </c>
      <c r="H22" s="9">
        <f>H4+H7+H11+H14</f>
        <v>20</v>
      </c>
      <c r="M22" s="441">
        <f>M4+M7+M11+M14</f>
        <v>9</v>
      </c>
      <c r="P22" s="9" t="s">
        <v>797</v>
      </c>
      <c r="R22" s="9">
        <f>R4+R7+R11+R14</f>
        <v>21</v>
      </c>
    </row>
  </sheetData>
  <mergeCells count="8">
    <mergeCell ref="U2:W2"/>
    <mergeCell ref="Z2:AA2"/>
    <mergeCell ref="M2:O2"/>
    <mergeCell ref="L19:R19"/>
    <mergeCell ref="B19:H19"/>
    <mergeCell ref="C2:E2"/>
    <mergeCell ref="H2:I2"/>
    <mergeCell ref="R2:S2"/>
  </mergeCells>
  <pageMargins left="0.70866141732283505" right="0.70866141732283505" top="0.74803149606299202" bottom="0.74803149606299202" header="0.31496062992126" footer="0.31496062992126"/>
  <pageSetup paperSize="9" scale="93" fitToHeight="0" orientation="portrait" r:id="rId1"/>
  <headerFooter>
    <oddHeader>&amp;L&amp;D&amp;C&amp;A&amp;R&amp;F</oddHeader>
    <oddFooter>&amp;L&amp;P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20"/>
  <sheetViews>
    <sheetView rightToLeft="1" zoomScaleNormal="100" zoomScaleSheetLayoutView="100" workbookViewId="0">
      <selection activeCell="X15" sqref="X15"/>
    </sheetView>
  </sheetViews>
  <sheetFormatPr defaultColWidth="9" defaultRowHeight="14.25" x14ac:dyDescent="0.2"/>
  <cols>
    <col min="1" max="1" width="2.75" style="434" customWidth="1"/>
    <col min="2" max="2" width="22.625" style="434" hidden="1" customWidth="1"/>
    <col min="3" max="3" width="19.75" style="434" hidden="1" customWidth="1"/>
    <col min="4" max="4" width="5.125" style="434" hidden="1" customWidth="1"/>
    <col min="5" max="5" width="10.5" style="434" hidden="1" customWidth="1"/>
    <col min="6" max="6" width="14.625" style="434" hidden="1" customWidth="1"/>
    <col min="7" max="7" width="5.5" style="2897" hidden="1" customWidth="1"/>
    <col min="8" max="8" width="12.875" style="434" hidden="1" customWidth="1"/>
    <col min="9" max="9" width="10.25" style="434" hidden="1" customWidth="1"/>
    <col min="10" max="11" width="9.875" style="434" hidden="1" customWidth="1"/>
    <col min="12" max="12" width="17.875" style="434" customWidth="1"/>
    <col min="13" max="13" width="16.125" style="434" customWidth="1"/>
    <col min="14" max="14" width="6.75" style="434" customWidth="1"/>
    <col min="15" max="15" width="10" style="434" customWidth="1"/>
    <col min="16" max="16" width="13" style="434" customWidth="1"/>
    <col min="17" max="17" width="20.25" style="434" customWidth="1"/>
    <col min="18" max="18" width="2.125" style="434" customWidth="1"/>
    <col min="19" max="20" width="9" style="434" hidden="1" customWidth="1"/>
    <col min="21" max="21" width="11.125" style="434" hidden="1" customWidth="1"/>
    <col min="22" max="22" width="9" style="434" hidden="1" customWidth="1"/>
    <col min="23" max="27" width="9" style="434" customWidth="1"/>
    <col min="28" max="16384" width="9" style="434"/>
  </cols>
  <sheetData>
    <row r="1" spans="2:27" x14ac:dyDescent="0.2">
      <c r="B1" s="588"/>
      <c r="C1" s="588"/>
      <c r="D1" s="588"/>
      <c r="H1" s="434" t="s">
        <v>476</v>
      </c>
      <c r="I1" s="434">
        <v>3.8</v>
      </c>
      <c r="M1" s="588"/>
    </row>
    <row r="2" spans="2:27" ht="15" thickBot="1" x14ac:dyDescent="0.25">
      <c r="H2" s="434" t="s">
        <v>477</v>
      </c>
      <c r="I2" s="434">
        <v>4.4000000000000004</v>
      </c>
    </row>
    <row r="3" spans="2:27" ht="15.75" thickBot="1" x14ac:dyDescent="0.25">
      <c r="F3" s="2890" t="s">
        <v>75</v>
      </c>
    </row>
    <row r="4" spans="2:27" ht="33" customHeight="1" x14ac:dyDescent="0.25">
      <c r="B4" s="3359" t="s">
        <v>478</v>
      </c>
      <c r="C4" s="3360"/>
      <c r="D4" s="3361" t="s">
        <v>620</v>
      </c>
      <c r="E4" s="3361"/>
      <c r="F4" s="3362"/>
      <c r="H4" s="3363" t="s">
        <v>621</v>
      </c>
      <c r="I4" s="3363"/>
      <c r="J4" s="3363"/>
      <c r="K4" s="3364"/>
      <c r="L4" s="3359" t="s">
        <v>887</v>
      </c>
      <c r="M4" s="3360"/>
      <c r="N4" s="2958" t="s">
        <v>501</v>
      </c>
      <c r="O4" s="2958"/>
      <c r="P4" s="2958"/>
      <c r="Q4" s="2959"/>
      <c r="R4" s="2965"/>
      <c r="S4" s="3365" t="s">
        <v>506</v>
      </c>
      <c r="T4" s="3271"/>
      <c r="U4" s="3271"/>
      <c r="V4" s="2966" t="s">
        <v>888</v>
      </c>
    </row>
    <row r="5" spans="2:27" s="589" customFormat="1" ht="38.25" x14ac:dyDescent="0.2">
      <c r="B5" s="2792" t="s">
        <v>89</v>
      </c>
      <c r="C5" s="2790"/>
      <c r="D5" s="2790" t="s">
        <v>54</v>
      </c>
      <c r="E5" s="2791" t="s">
        <v>91</v>
      </c>
      <c r="F5" s="2962" t="s">
        <v>92</v>
      </c>
      <c r="G5" s="2898"/>
      <c r="H5" s="1950" t="s">
        <v>54</v>
      </c>
      <c r="I5" s="590" t="s">
        <v>91</v>
      </c>
      <c r="J5" s="590" t="s">
        <v>207</v>
      </c>
      <c r="K5" s="2954"/>
      <c r="L5" s="2792"/>
      <c r="M5" s="2790"/>
      <c r="N5" s="590" t="s">
        <v>54</v>
      </c>
      <c r="O5" s="590" t="s">
        <v>91</v>
      </c>
      <c r="P5" s="590" t="s">
        <v>92</v>
      </c>
      <c r="Q5" s="1909" t="s">
        <v>622</v>
      </c>
      <c r="S5" s="2884" t="s">
        <v>54</v>
      </c>
      <c r="T5" s="590" t="s">
        <v>91</v>
      </c>
      <c r="U5" s="590" t="s">
        <v>92</v>
      </c>
      <c r="V5" s="1909"/>
    </row>
    <row r="6" spans="2:27" ht="28.5" x14ac:dyDescent="0.25">
      <c r="B6" s="2793" t="s">
        <v>479</v>
      </c>
      <c r="C6" s="435" t="s">
        <v>480</v>
      </c>
      <c r="D6" s="248">
        <v>5</v>
      </c>
      <c r="E6" s="592">
        <v>9750</v>
      </c>
      <c r="F6" s="2963">
        <f t="shared" ref="F6:F12" si="0">E6*D6</f>
        <v>48750</v>
      </c>
      <c r="H6" s="2892">
        <v>0</v>
      </c>
      <c r="I6" s="190">
        <v>0</v>
      </c>
      <c r="J6" s="190">
        <v>0</v>
      </c>
      <c r="K6" s="2955"/>
      <c r="L6" s="2793" t="s">
        <v>479</v>
      </c>
      <c r="M6" s="435" t="s">
        <v>480</v>
      </c>
      <c r="N6" s="594">
        <v>0</v>
      </c>
      <c r="O6" s="595">
        <v>0</v>
      </c>
      <c r="P6" s="593">
        <v>0</v>
      </c>
      <c r="Q6" s="2794"/>
      <c r="S6" s="2967">
        <f>N6-D6</f>
        <v>-5</v>
      </c>
      <c r="T6" s="294">
        <f>O6-E6</f>
        <v>-9750</v>
      </c>
      <c r="U6" s="294">
        <f>P6-F6</f>
        <v>-48750</v>
      </c>
      <c r="V6" s="2968"/>
    </row>
    <row r="7" spans="2:27" ht="15" x14ac:dyDescent="0.25">
      <c r="B7" s="2795" t="s">
        <v>164</v>
      </c>
      <c r="C7" s="435" t="s">
        <v>480</v>
      </c>
      <c r="D7" s="248">
        <v>5</v>
      </c>
      <c r="E7" s="592">
        <v>1950</v>
      </c>
      <c r="F7" s="2963">
        <f t="shared" si="0"/>
        <v>9750</v>
      </c>
      <c r="H7" s="2893">
        <v>0</v>
      </c>
      <c r="I7" s="216">
        <v>0</v>
      </c>
      <c r="J7" s="216">
        <v>0</v>
      </c>
      <c r="K7" s="2956"/>
      <c r="L7" s="2795" t="s">
        <v>164</v>
      </c>
      <c r="M7" s="435" t="s">
        <v>480</v>
      </c>
      <c r="N7" s="596">
        <v>0</v>
      </c>
      <c r="O7" s="596">
        <v>0</v>
      </c>
      <c r="P7" s="593">
        <f t="shared" ref="P7" si="1">N7*O7</f>
        <v>0</v>
      </c>
      <c r="Q7" s="2794"/>
      <c r="S7" s="2967">
        <f t="shared" ref="S7:S12" si="2">N7-D7</f>
        <v>-5</v>
      </c>
      <c r="T7" s="294">
        <f t="shared" ref="T7:U12" si="3">O7-E7</f>
        <v>-1950</v>
      </c>
      <c r="U7" s="294">
        <f t="shared" si="3"/>
        <v>-9750</v>
      </c>
      <c r="V7" s="2968"/>
    </row>
    <row r="8" spans="2:27" ht="15" x14ac:dyDescent="0.25">
      <c r="B8" s="2793" t="s">
        <v>481</v>
      </c>
      <c r="C8" s="436" t="s">
        <v>482</v>
      </c>
      <c r="D8" s="247">
        <v>75</v>
      </c>
      <c r="E8" s="592">
        <v>1950</v>
      </c>
      <c r="F8" s="2963">
        <f t="shared" si="0"/>
        <v>146250</v>
      </c>
      <c r="H8" s="2894">
        <v>60</v>
      </c>
      <c r="I8" s="216"/>
      <c r="J8" s="593"/>
      <c r="K8" s="2891"/>
      <c r="L8" s="2793" t="s">
        <v>481</v>
      </c>
      <c r="M8" s="436" t="s">
        <v>482</v>
      </c>
      <c r="N8" s="597">
        <v>120</v>
      </c>
      <c r="O8" s="593">
        <f t="shared" ref="O8" si="4">P8/N8</f>
        <v>1625</v>
      </c>
      <c r="P8" s="593">
        <v>195000</v>
      </c>
      <c r="Q8" s="2796"/>
      <c r="S8" s="2967">
        <f t="shared" si="2"/>
        <v>45</v>
      </c>
      <c r="T8" s="294">
        <f t="shared" si="3"/>
        <v>-325</v>
      </c>
      <c r="U8" s="294">
        <f t="shared" si="3"/>
        <v>48750</v>
      </c>
      <c r="V8" s="2968"/>
      <c r="AA8" s="2972"/>
    </row>
    <row r="9" spans="2:27" ht="15" x14ac:dyDescent="0.25">
      <c r="B9" s="2793" t="s">
        <v>483</v>
      </c>
      <c r="C9" s="436"/>
      <c r="D9" s="598">
        <v>75</v>
      </c>
      <c r="E9" s="592">
        <v>3900</v>
      </c>
      <c r="F9" s="2963">
        <f t="shared" si="0"/>
        <v>292500</v>
      </c>
      <c r="H9" s="2895">
        <v>60</v>
      </c>
      <c r="I9" s="216"/>
      <c r="J9" s="593"/>
      <c r="K9" s="2891"/>
      <c r="L9" s="2793" t="s">
        <v>483</v>
      </c>
      <c r="M9" s="436"/>
      <c r="N9" s="597">
        <v>120</v>
      </c>
      <c r="O9" s="593">
        <v>3900</v>
      </c>
      <c r="P9" s="593">
        <f>O9*N9</f>
        <v>468000</v>
      </c>
      <c r="Q9" s="2797"/>
      <c r="S9" s="2967">
        <f t="shared" si="2"/>
        <v>45</v>
      </c>
      <c r="T9" s="294">
        <f t="shared" si="3"/>
        <v>0</v>
      </c>
      <c r="U9" s="294">
        <f t="shared" si="3"/>
        <v>175500</v>
      </c>
      <c r="V9" s="2968"/>
      <c r="AA9" s="2972"/>
    </row>
    <row r="10" spans="2:27" ht="28.5" x14ac:dyDescent="0.25">
      <c r="B10" s="2793" t="s">
        <v>484</v>
      </c>
      <c r="C10" s="435"/>
      <c r="D10" s="247">
        <v>75</v>
      </c>
      <c r="E10" s="592">
        <v>6435</v>
      </c>
      <c r="F10" s="2963">
        <f t="shared" si="0"/>
        <v>482625</v>
      </c>
      <c r="H10" s="2894">
        <v>60</v>
      </c>
      <c r="I10" s="216"/>
      <c r="J10" s="593"/>
      <c r="K10" s="2891"/>
      <c r="L10" s="2793" t="s">
        <v>484</v>
      </c>
      <c r="M10" s="435"/>
      <c r="N10" s="597">
        <v>120</v>
      </c>
      <c r="O10" s="593">
        <v>5510</v>
      </c>
      <c r="P10" s="593">
        <f>O10*N10</f>
        <v>661200</v>
      </c>
      <c r="Q10" s="2797"/>
      <c r="S10" s="2967">
        <f t="shared" si="2"/>
        <v>45</v>
      </c>
      <c r="T10" s="294">
        <f t="shared" si="3"/>
        <v>-925</v>
      </c>
      <c r="U10" s="294">
        <f t="shared" si="3"/>
        <v>178575</v>
      </c>
      <c r="V10" s="2968"/>
      <c r="AA10" s="2972"/>
    </row>
    <row r="11" spans="2:27" ht="30" x14ac:dyDescent="0.2">
      <c r="B11" s="2793" t="s">
        <v>485</v>
      </c>
      <c r="C11" s="436" t="s">
        <v>486</v>
      </c>
      <c r="D11" s="247">
        <v>75</v>
      </c>
      <c r="E11" s="592">
        <v>1170</v>
      </c>
      <c r="F11" s="2963">
        <f t="shared" si="0"/>
        <v>87750</v>
      </c>
      <c r="H11" s="2894">
        <v>60</v>
      </c>
      <c r="I11" s="216"/>
      <c r="J11" s="593"/>
      <c r="K11" s="2891"/>
      <c r="L11" s="2793" t="s">
        <v>485</v>
      </c>
      <c r="M11" s="436" t="s">
        <v>486</v>
      </c>
      <c r="N11" s="597">
        <v>120</v>
      </c>
      <c r="O11" s="593">
        <f>P11/N11</f>
        <v>850</v>
      </c>
      <c r="P11" s="593">
        <v>102000</v>
      </c>
      <c r="Q11" s="2797" t="s">
        <v>623</v>
      </c>
      <c r="S11" s="2967">
        <f t="shared" si="2"/>
        <v>45</v>
      </c>
      <c r="T11" s="294">
        <f t="shared" si="3"/>
        <v>-320</v>
      </c>
      <c r="U11" s="294">
        <f t="shared" si="3"/>
        <v>14250</v>
      </c>
      <c r="V11" s="2969"/>
      <c r="AA11" s="2972"/>
    </row>
    <row r="12" spans="2:27" ht="42.75" x14ac:dyDescent="0.2">
      <c r="B12" s="2795" t="s">
        <v>624</v>
      </c>
      <c r="C12" s="436"/>
      <c r="D12" s="247">
        <v>1</v>
      </c>
      <c r="E12" s="249">
        <v>30000</v>
      </c>
      <c r="F12" s="2963">
        <f t="shared" si="0"/>
        <v>30000</v>
      </c>
      <c r="H12" s="2893">
        <v>1</v>
      </c>
      <c r="I12" s="216"/>
      <c r="J12" s="593"/>
      <c r="K12" s="2891"/>
      <c r="L12" s="2795" t="s">
        <v>904</v>
      </c>
      <c r="M12" s="436"/>
      <c r="N12" s="593">
        <v>2</v>
      </c>
      <c r="O12" s="593">
        <v>30000</v>
      </c>
      <c r="P12" s="593">
        <f>O12*N12</f>
        <v>60000</v>
      </c>
      <c r="Q12" s="2960"/>
      <c r="S12" s="2967">
        <f t="shared" si="2"/>
        <v>1</v>
      </c>
      <c r="T12" s="294">
        <f t="shared" si="3"/>
        <v>0</v>
      </c>
      <c r="U12" s="294">
        <f t="shared" si="3"/>
        <v>30000</v>
      </c>
      <c r="V12" s="2247"/>
      <c r="AA12" s="2972"/>
    </row>
    <row r="13" spans="2:27" ht="16.5" thickBot="1" x14ac:dyDescent="0.3">
      <c r="B13" s="2961" t="s">
        <v>487</v>
      </c>
      <c r="C13" s="2798"/>
      <c r="D13" s="2799"/>
      <c r="E13" s="2800"/>
      <c r="F13" s="2964">
        <f>SUM(F6:F12)</f>
        <v>1097625</v>
      </c>
      <c r="H13" s="2896"/>
      <c r="I13" s="584"/>
      <c r="J13" s="585">
        <f>SUM(J6:J12)</f>
        <v>0</v>
      </c>
      <c r="K13" s="2957"/>
      <c r="L13" s="2961" t="s">
        <v>487</v>
      </c>
      <c r="M13" s="2798"/>
      <c r="N13" s="584"/>
      <c r="O13" s="584"/>
      <c r="P13" s="2801">
        <f>SUM(P8:P12)</f>
        <v>1486200</v>
      </c>
      <c r="Q13" s="1556"/>
      <c r="S13" s="2970"/>
      <c r="T13" s="301"/>
      <c r="U13" s="302">
        <f>SUM(U6:U12)</f>
        <v>388575</v>
      </c>
      <c r="V13" s="2971"/>
      <c r="AA13" s="2972"/>
    </row>
    <row r="14" spans="2:27" ht="15.75" x14ac:dyDescent="0.2">
      <c r="B14" s="2973" t="s">
        <v>907</v>
      </c>
      <c r="C14" s="599"/>
      <c r="D14" s="437"/>
      <c r="E14" s="438"/>
      <c r="F14" s="439">
        <f>F13*120/75</f>
        <v>1756200</v>
      </c>
      <c r="H14" s="600"/>
      <c r="I14" s="600"/>
      <c r="M14" s="599"/>
      <c r="P14" s="439"/>
      <c r="U14" s="439"/>
    </row>
    <row r="15" spans="2:27" x14ac:dyDescent="0.2">
      <c r="F15" s="444"/>
      <c r="P15" s="444"/>
    </row>
    <row r="16" spans="2:27" x14ac:dyDescent="0.2">
      <c r="P16" s="601"/>
    </row>
    <row r="17" spans="2:16" x14ac:dyDescent="0.2">
      <c r="B17" s="588"/>
      <c r="C17" s="588"/>
      <c r="M17" s="588"/>
      <c r="P17" s="444"/>
    </row>
    <row r="18" spans="2:16" ht="16.5" customHeight="1" x14ac:dyDescent="0.2"/>
    <row r="20" spans="2:16" ht="15" customHeight="1" x14ac:dyDescent="0.2"/>
  </sheetData>
  <mergeCells count="5">
    <mergeCell ref="B4:C4"/>
    <mergeCell ref="D4:F4"/>
    <mergeCell ref="H4:K4"/>
    <mergeCell ref="L4:M4"/>
    <mergeCell ref="S4:U4"/>
  </mergeCells>
  <pageMargins left="0.70866141732283505" right="0.70866141732283505" top="0.74803149606299202" bottom="0.74803149606299202" header="0.31496062992126" footer="0.31496062992126"/>
  <pageSetup paperSize="9" scale="95" fitToHeight="0" orientation="portrait" r:id="rId1"/>
  <headerFooter>
    <oddHeader>&amp;L&amp;D&amp;C&amp;A&amp;R&amp;F</oddHeader>
    <oddFooter>&amp;L&amp;P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10"/>
  <sheetViews>
    <sheetView rightToLeft="1" view="pageBreakPreview" zoomScaleNormal="100" zoomScaleSheetLayoutView="100" workbookViewId="0">
      <pane xSplit="1" ySplit="1" topLeftCell="C89" activePane="bottomRight" state="frozen"/>
      <selection activeCell="D101" sqref="D101"/>
      <selection pane="topRight" activeCell="D101" sqref="D101"/>
      <selection pane="bottomLeft" activeCell="D101" sqref="D101"/>
      <selection pane="bottomRight" activeCell="D108" sqref="D108"/>
    </sheetView>
  </sheetViews>
  <sheetFormatPr defaultRowHeight="15" x14ac:dyDescent="0.2"/>
  <cols>
    <col min="1" max="1" width="11.875" style="18" customWidth="1"/>
    <col min="2" max="2" width="20.75" style="60" hidden="1" customWidth="1"/>
    <col min="3" max="3" width="5" style="324" customWidth="1"/>
    <col min="4" max="4" width="46.25" bestFit="1" customWidth="1"/>
    <col min="5" max="5" width="5" customWidth="1"/>
    <col min="6" max="6" width="13.875" style="4" customWidth="1"/>
    <col min="7" max="7" width="9.625" style="4" customWidth="1"/>
    <col min="8" max="8" width="11.5" style="4" customWidth="1"/>
    <col min="9" max="9" width="11.875" style="4" customWidth="1"/>
    <col min="10" max="10" width="4.75" style="4" customWidth="1"/>
    <col min="11" max="11" width="10.875" style="4" customWidth="1"/>
    <col min="12" max="12" width="4.75" style="4" customWidth="1"/>
    <col min="13" max="13" width="12.375" style="4" bestFit="1" customWidth="1"/>
    <col min="14" max="15" width="11.625" hidden="1" customWidth="1"/>
    <col min="16" max="16" width="13.5" style="4" bestFit="1" customWidth="1"/>
    <col min="18" max="18" width="10.5" bestFit="1" customWidth="1"/>
    <col min="19" max="19" width="14.5" customWidth="1"/>
  </cols>
  <sheetData>
    <row r="1" spans="1:23" ht="42.75" thickBot="1" x14ac:dyDescent="0.25">
      <c r="A1" s="21" t="s">
        <v>17</v>
      </c>
      <c r="B1" s="1636" t="s">
        <v>52</v>
      </c>
      <c r="C1" s="2760"/>
      <c r="D1" s="1636" t="s">
        <v>3</v>
      </c>
      <c r="E1" s="1636" t="s">
        <v>30</v>
      </c>
      <c r="F1" s="1508" t="s">
        <v>80</v>
      </c>
      <c r="G1" s="1508" t="s">
        <v>59</v>
      </c>
      <c r="H1" s="1508" t="s">
        <v>2</v>
      </c>
      <c r="I1" s="1508" t="s">
        <v>1</v>
      </c>
      <c r="J1" s="1508" t="s">
        <v>30</v>
      </c>
      <c r="K1" s="1508" t="s">
        <v>41</v>
      </c>
      <c r="L1" s="1508" t="s">
        <v>30</v>
      </c>
      <c r="M1" s="1560" t="s">
        <v>40</v>
      </c>
      <c r="N1" s="99" t="s">
        <v>0</v>
      </c>
      <c r="O1" s="22" t="s">
        <v>0</v>
      </c>
    </row>
    <row r="2" spans="1:23" ht="15" customHeight="1" x14ac:dyDescent="0.2">
      <c r="A2" s="3132" t="s">
        <v>21</v>
      </c>
      <c r="B2" s="3137" t="s">
        <v>4</v>
      </c>
      <c r="C2" s="116">
        <v>1.1000000000000001</v>
      </c>
      <c r="D2" s="6" t="s">
        <v>227</v>
      </c>
      <c r="E2" s="6">
        <f>'חמ"ע'!P6</f>
        <v>108</v>
      </c>
      <c r="F2" s="625">
        <f>'חמ"ע'!R14</f>
        <v>832480.08</v>
      </c>
      <c r="G2" s="625">
        <f>'חמ"ע'!S14</f>
        <v>0</v>
      </c>
      <c r="H2" s="625"/>
      <c r="I2" s="625">
        <f t="shared" ref="I2:I23" si="0">F2</f>
        <v>832480.08</v>
      </c>
      <c r="J2" s="625"/>
      <c r="K2" s="1510"/>
      <c r="L2" s="1511"/>
      <c r="M2" s="121"/>
      <c r="N2" s="100" t="s">
        <v>50</v>
      </c>
      <c r="O2" s="36" t="s">
        <v>46</v>
      </c>
      <c r="Q2" s="10"/>
      <c r="S2" s="10"/>
      <c r="U2" s="10"/>
      <c r="W2" s="10"/>
    </row>
    <row r="3" spans="1:23" ht="15" customHeight="1" x14ac:dyDescent="0.2">
      <c r="A3" s="3133"/>
      <c r="B3" s="3138"/>
      <c r="C3" s="159">
        <v>1.2</v>
      </c>
      <c r="D3" s="160" t="s">
        <v>241</v>
      </c>
      <c r="E3" s="160">
        <f>'חמ"ע'!P23</f>
        <v>13</v>
      </c>
      <c r="F3" s="1509">
        <f>'חמ"ע'!R39</f>
        <v>2999399.54</v>
      </c>
      <c r="G3" s="1509">
        <f>'חמ"ע'!S39</f>
        <v>0</v>
      </c>
      <c r="H3" s="1509"/>
      <c r="I3" s="446">
        <f t="shared" si="0"/>
        <v>2999399.54</v>
      </c>
      <c r="J3" s="1509"/>
      <c r="K3" s="1512">
        <f>'חמ"ע'!V39</f>
        <v>210400</v>
      </c>
      <c r="L3" s="1513"/>
      <c r="M3" s="163"/>
      <c r="N3" s="100"/>
      <c r="O3" s="36"/>
      <c r="Q3" s="10"/>
      <c r="S3" s="10"/>
      <c r="U3" s="10"/>
      <c r="W3" s="10"/>
    </row>
    <row r="4" spans="1:23" ht="15" customHeight="1" x14ac:dyDescent="0.2">
      <c r="A4" s="3133"/>
      <c r="B4" s="3139"/>
      <c r="C4" s="159">
        <v>1.3</v>
      </c>
      <c r="D4" s="160" t="s">
        <v>253</v>
      </c>
      <c r="E4" s="160">
        <f>'חמ"ע'!P48</f>
        <v>27</v>
      </c>
      <c r="F4" s="1509">
        <f>'חמ"ע'!R57</f>
        <v>716754.6</v>
      </c>
      <c r="G4" s="1509">
        <f>'חמ"ע'!S57</f>
        <v>0</v>
      </c>
      <c r="H4" s="1509"/>
      <c r="I4" s="446">
        <f t="shared" si="0"/>
        <v>716754.6</v>
      </c>
      <c r="J4" s="1509"/>
      <c r="K4" s="1512"/>
      <c r="L4" s="1513"/>
      <c r="M4" s="163"/>
      <c r="N4" s="100"/>
      <c r="O4" s="36"/>
      <c r="Q4" s="10"/>
      <c r="S4" s="10"/>
      <c r="U4" s="10"/>
      <c r="W4" s="10"/>
    </row>
    <row r="5" spans="1:23" ht="21.75" customHeight="1" x14ac:dyDescent="0.2">
      <c r="A5" s="3134"/>
      <c r="B5" s="3140" t="s">
        <v>57</v>
      </c>
      <c r="C5" s="11">
        <v>2.1</v>
      </c>
      <c r="D5" s="5" t="s">
        <v>260</v>
      </c>
      <c r="E5" s="5">
        <f>'חמ"ע'!P64</f>
        <v>40</v>
      </c>
      <c r="F5" s="446">
        <f>'חמ"ע'!R72</f>
        <v>201779.34341042821</v>
      </c>
      <c r="G5" s="446">
        <f>'חמ"ע'!S72</f>
        <v>0</v>
      </c>
      <c r="H5" s="446"/>
      <c r="I5" s="446">
        <f t="shared" si="0"/>
        <v>201779.34341042821</v>
      </c>
      <c r="J5" s="446">
        <f>'חמ"ע'!U64</f>
        <v>100</v>
      </c>
      <c r="K5" s="36">
        <f>'חמ"ע'!V72</f>
        <v>2683433.3333333335</v>
      </c>
      <c r="L5" s="1514"/>
      <c r="M5" s="110"/>
      <c r="N5" s="100" t="s">
        <v>50</v>
      </c>
      <c r="O5" s="36" t="s">
        <v>46</v>
      </c>
      <c r="Q5" s="10"/>
      <c r="S5" s="10"/>
      <c r="U5" s="10"/>
      <c r="W5" s="10"/>
    </row>
    <row r="6" spans="1:23" ht="21.75" customHeight="1" x14ac:dyDescent="0.2">
      <c r="A6" s="3134"/>
      <c r="B6" s="3138"/>
      <c r="C6" s="11">
        <v>2.2000000000000002</v>
      </c>
      <c r="D6" s="5" t="s">
        <v>275</v>
      </c>
      <c r="E6" s="5">
        <f>'חמ"ע'!P80</f>
        <v>66</v>
      </c>
      <c r="F6" s="446">
        <f>'חמ"ע'!R87</f>
        <v>488968</v>
      </c>
      <c r="G6" s="446">
        <f>'חמ"ע'!S87</f>
        <v>0</v>
      </c>
      <c r="H6" s="446"/>
      <c r="I6" s="446">
        <f t="shared" si="0"/>
        <v>488968</v>
      </c>
      <c r="J6" s="446"/>
      <c r="K6" s="36"/>
      <c r="L6" s="1514"/>
      <c r="M6" s="110"/>
      <c r="N6" s="100"/>
      <c r="O6" s="36"/>
      <c r="Q6" s="10"/>
      <c r="S6" s="10"/>
      <c r="U6" s="10"/>
      <c r="W6" s="10"/>
    </row>
    <row r="7" spans="1:23" ht="21.75" customHeight="1" x14ac:dyDescent="0.2">
      <c r="A7" s="3134"/>
      <c r="B7" s="3139"/>
      <c r="C7" s="11">
        <v>2.2999999999999998</v>
      </c>
      <c r="D7" s="5" t="s">
        <v>282</v>
      </c>
      <c r="E7" s="5"/>
      <c r="F7" s="446"/>
      <c r="G7" s="446"/>
      <c r="H7" s="446"/>
      <c r="I7" s="446">
        <f t="shared" si="0"/>
        <v>0</v>
      </c>
      <c r="J7" s="446">
        <f>'חמ"ע'!U92</f>
        <v>6</v>
      </c>
      <c r="K7" s="36">
        <f>'חמ"ע'!V96</f>
        <v>32940.720000000001</v>
      </c>
      <c r="L7" s="1514"/>
      <c r="M7" s="110"/>
      <c r="N7" s="100"/>
      <c r="O7" s="36"/>
      <c r="Q7" s="10"/>
      <c r="S7" s="10"/>
      <c r="U7" s="10"/>
      <c r="W7" s="10"/>
    </row>
    <row r="8" spans="1:23" ht="15" customHeight="1" x14ac:dyDescent="0.2">
      <c r="A8" s="3134"/>
      <c r="B8" s="3141" t="s">
        <v>29</v>
      </c>
      <c r="C8" s="11">
        <v>3.1</v>
      </c>
      <c r="D8" s="5" t="s">
        <v>27</v>
      </c>
      <c r="E8" s="5">
        <f>'חמ"ע'!P101</f>
        <v>86</v>
      </c>
      <c r="F8" s="446">
        <f>'חמ"ע'!R110</f>
        <v>3807159.1119999997</v>
      </c>
      <c r="G8" s="446">
        <f>'חמ"ע'!S110</f>
        <v>0</v>
      </c>
      <c r="H8" s="446"/>
      <c r="I8" s="446">
        <f t="shared" si="0"/>
        <v>3807159.1119999997</v>
      </c>
      <c r="J8" s="446">
        <f>'חמ"ע'!U101</f>
        <v>10</v>
      </c>
      <c r="K8" s="36">
        <f>'חמ"ע'!V110</f>
        <v>454662.92</v>
      </c>
      <c r="L8" s="1514"/>
      <c r="M8" s="110"/>
      <c r="N8" s="100" t="s">
        <v>50</v>
      </c>
      <c r="O8" s="36" t="s">
        <v>46</v>
      </c>
      <c r="Q8" s="10"/>
      <c r="S8" s="10"/>
      <c r="U8" s="10"/>
      <c r="W8" s="10"/>
    </row>
    <row r="9" spans="1:23" ht="15" customHeight="1" x14ac:dyDescent="0.2">
      <c r="A9" s="3134"/>
      <c r="B9" s="3142"/>
      <c r="C9" s="11">
        <v>3.2</v>
      </c>
      <c r="D9" s="5" t="s">
        <v>294</v>
      </c>
      <c r="E9" s="5">
        <f>'חמ"ע'!P115</f>
        <v>0</v>
      </c>
      <c r="F9" s="446">
        <f>'חמ"ע'!R133</f>
        <v>0</v>
      </c>
      <c r="G9" s="446">
        <f>'חמ"ע'!S133</f>
        <v>0</v>
      </c>
      <c r="H9" s="446"/>
      <c r="I9" s="446">
        <f t="shared" si="0"/>
        <v>0</v>
      </c>
      <c r="J9" s="446">
        <f>'חמ"ע'!U115</f>
        <v>2</v>
      </c>
      <c r="K9" s="36">
        <f>'חמ"ע'!V133</f>
        <v>0</v>
      </c>
      <c r="L9" s="1514"/>
      <c r="M9" s="110"/>
      <c r="N9" s="100"/>
      <c r="O9" s="36"/>
      <c r="Q9" s="10"/>
      <c r="S9" s="10"/>
      <c r="U9" s="10"/>
      <c r="W9" s="10"/>
    </row>
    <row r="10" spans="1:23" ht="15" customHeight="1" x14ac:dyDescent="0.2">
      <c r="A10" s="3134"/>
      <c r="B10" s="3143" t="s">
        <v>6</v>
      </c>
      <c r="C10" s="11">
        <v>4.0999999999999996</v>
      </c>
      <c r="D10" s="5" t="s">
        <v>315</v>
      </c>
      <c r="E10" s="5">
        <f>'חמ"ע'!P141</f>
        <v>50</v>
      </c>
      <c r="F10" s="446">
        <f>'חמ"ע'!R143</f>
        <v>127500</v>
      </c>
      <c r="G10" s="446">
        <f>'חמ"ע'!S143</f>
        <v>22500</v>
      </c>
      <c r="H10" s="446"/>
      <c r="I10" s="446">
        <f t="shared" si="0"/>
        <v>127500</v>
      </c>
      <c r="J10" s="446"/>
      <c r="K10" s="36"/>
      <c r="L10" s="1514"/>
      <c r="M10" s="110"/>
      <c r="N10" s="100" t="s">
        <v>51</v>
      </c>
      <c r="O10" s="36" t="s">
        <v>48</v>
      </c>
      <c r="Q10" s="10"/>
      <c r="S10" s="10"/>
      <c r="U10" s="10"/>
      <c r="W10" s="10"/>
    </row>
    <row r="11" spans="1:23" ht="15" customHeight="1" x14ac:dyDescent="0.2">
      <c r="A11" s="3134"/>
      <c r="B11" s="3143"/>
      <c r="C11" s="11">
        <v>4.2</v>
      </c>
      <c r="D11" s="5" t="s">
        <v>318</v>
      </c>
      <c r="E11" s="5">
        <f>'חמ"ע'!P148+'חמ"ע'!P155+'חמ"ע'!P162</f>
        <v>7</v>
      </c>
      <c r="F11" s="446">
        <f>'חמ"ע'!R165</f>
        <v>1619569.6578000002</v>
      </c>
      <c r="G11" s="446">
        <f>'חמ"ע'!S165</f>
        <v>285806.41019999998</v>
      </c>
      <c r="H11" s="446"/>
      <c r="I11" s="446">
        <f t="shared" si="0"/>
        <v>1619569.6578000002</v>
      </c>
      <c r="J11" s="446">
        <f>'חמ"ע'!U163+'חמ"ע'!U157+'חמ"ע'!U149</f>
        <v>6</v>
      </c>
      <c r="K11" s="36">
        <f>'חמ"ע'!V165</f>
        <v>3277164.333333333</v>
      </c>
      <c r="L11" s="1514"/>
      <c r="M11" s="110"/>
      <c r="N11" s="100" t="s">
        <v>51</v>
      </c>
      <c r="O11" s="36" t="s">
        <v>48</v>
      </c>
      <c r="Q11" s="10"/>
      <c r="S11" s="10"/>
      <c r="U11" s="10"/>
      <c r="W11" s="10"/>
    </row>
    <row r="12" spans="1:23" ht="15" customHeight="1" x14ac:dyDescent="0.2">
      <c r="A12" s="3134"/>
      <c r="B12" s="3143"/>
      <c r="C12" s="11">
        <v>4.3</v>
      </c>
      <c r="D12" s="5" t="s">
        <v>339</v>
      </c>
      <c r="E12" s="5">
        <f>'חמ"ע'!P170</f>
        <v>35</v>
      </c>
      <c r="F12" s="446">
        <f>'חמ"ע'!R173</f>
        <v>1556358.5769047618</v>
      </c>
      <c r="G12" s="446">
        <f>'חמ"ע'!S173</f>
        <v>274651.5135714286</v>
      </c>
      <c r="H12" s="446"/>
      <c r="I12" s="446">
        <f t="shared" si="0"/>
        <v>1556358.5769047618</v>
      </c>
      <c r="J12" s="446">
        <f>'חמ"ע'!U170</f>
        <v>86</v>
      </c>
      <c r="K12" s="36">
        <f>'חמ"ע'!V173</f>
        <v>5954373.0314285718</v>
      </c>
      <c r="L12" s="1514"/>
      <c r="M12" s="110"/>
      <c r="N12" s="100" t="s">
        <v>50</v>
      </c>
      <c r="O12" s="36" t="s">
        <v>47</v>
      </c>
      <c r="Q12" s="10"/>
      <c r="S12" s="10"/>
      <c r="U12" s="10"/>
      <c r="W12" s="10"/>
    </row>
    <row r="13" spans="1:23" ht="15" customHeight="1" x14ac:dyDescent="0.2">
      <c r="A13" s="3134"/>
      <c r="B13" s="3143" t="s">
        <v>26</v>
      </c>
      <c r="C13" s="11">
        <v>5.0999999999999996</v>
      </c>
      <c r="D13" s="164" t="s">
        <v>343</v>
      </c>
      <c r="E13" s="5">
        <f>'חמ"ע'!P179+'חמ"ע'!P182</f>
        <v>3</v>
      </c>
      <c r="F13" s="446">
        <f>'חמ"ע'!R187</f>
        <v>474088.4208333334</v>
      </c>
      <c r="G13" s="446">
        <f>'חמ"ע'!S187</f>
        <v>83662.662500000006</v>
      </c>
      <c r="H13" s="446"/>
      <c r="I13" s="446">
        <f t="shared" si="0"/>
        <v>474088.4208333334</v>
      </c>
      <c r="J13" s="446"/>
      <c r="K13" s="1515"/>
      <c r="L13" s="1516"/>
      <c r="M13" s="110"/>
      <c r="N13" s="100" t="s">
        <v>50</v>
      </c>
      <c r="O13" s="36" t="s">
        <v>47</v>
      </c>
      <c r="Q13" s="10"/>
      <c r="S13" s="10"/>
      <c r="U13" s="10"/>
      <c r="W13" s="10"/>
    </row>
    <row r="14" spans="1:23" ht="15" customHeight="1" x14ac:dyDescent="0.2">
      <c r="A14" s="3134"/>
      <c r="B14" s="3143"/>
      <c r="C14" s="11">
        <v>5.2</v>
      </c>
      <c r="D14" s="5" t="s">
        <v>344</v>
      </c>
      <c r="E14" s="5">
        <f>'חמ"ע'!P192</f>
        <v>12</v>
      </c>
      <c r="F14" s="446">
        <f>'חמ"ע'!R201</f>
        <v>384560.1</v>
      </c>
      <c r="G14" s="446">
        <f>'חמ"ע'!S201</f>
        <v>0</v>
      </c>
      <c r="H14" s="446"/>
      <c r="I14" s="446">
        <f t="shared" si="0"/>
        <v>384560.1</v>
      </c>
      <c r="J14" s="446"/>
      <c r="K14" s="36"/>
      <c r="L14" s="1514"/>
      <c r="M14" s="110"/>
      <c r="N14" s="100" t="s">
        <v>51</v>
      </c>
      <c r="O14" s="36" t="s">
        <v>48</v>
      </c>
      <c r="Q14" s="10"/>
      <c r="S14" s="10"/>
      <c r="U14" s="10"/>
      <c r="W14" s="10"/>
    </row>
    <row r="15" spans="1:23" ht="15" customHeight="1" x14ac:dyDescent="0.2">
      <c r="A15" s="3134"/>
      <c r="B15" s="3144" t="s">
        <v>9</v>
      </c>
      <c r="C15" s="11">
        <v>6.1</v>
      </c>
      <c r="D15" s="5" t="s">
        <v>353</v>
      </c>
      <c r="E15" s="5">
        <f>'חמ"ע'!P206</f>
        <v>1</v>
      </c>
      <c r="F15" s="446">
        <f>'חמ"ע'!R211</f>
        <v>94848</v>
      </c>
      <c r="G15" s="446">
        <f>'חמ"ע'!S211</f>
        <v>0</v>
      </c>
      <c r="H15" s="446"/>
      <c r="I15" s="446">
        <f t="shared" si="0"/>
        <v>94848</v>
      </c>
      <c r="J15" s="446">
        <f>'חמ"ע'!U206</f>
        <v>1</v>
      </c>
      <c r="K15" s="36">
        <f>'חמ"ע'!V211</f>
        <v>69008</v>
      </c>
      <c r="L15" s="1514"/>
      <c r="M15" s="110"/>
      <c r="N15" s="100" t="s">
        <v>51</v>
      </c>
      <c r="O15" s="36" t="s">
        <v>48</v>
      </c>
      <c r="Q15" s="10"/>
      <c r="S15" s="10"/>
      <c r="U15" s="10"/>
      <c r="W15" s="10"/>
    </row>
    <row r="16" spans="1:23" ht="14.25" x14ac:dyDescent="0.2">
      <c r="A16" s="3134"/>
      <c r="B16" s="3144"/>
      <c r="C16" s="11">
        <v>6.2</v>
      </c>
      <c r="D16" s="165" t="s">
        <v>362</v>
      </c>
      <c r="E16" s="5">
        <f>'חמ"ע'!P218+'חמ"ע'!P226</f>
        <v>6</v>
      </c>
      <c r="F16" s="446">
        <f>'חמ"ע'!R232</f>
        <v>545285</v>
      </c>
      <c r="G16" s="446">
        <f>'חמ"ע'!S232</f>
        <v>0</v>
      </c>
      <c r="H16" s="446"/>
      <c r="I16" s="446">
        <f t="shared" si="0"/>
        <v>545285</v>
      </c>
      <c r="J16" s="446"/>
      <c r="K16" s="36"/>
      <c r="L16" s="1514"/>
      <c r="M16" s="110"/>
      <c r="N16" s="100" t="s">
        <v>51</v>
      </c>
      <c r="O16" s="36" t="s">
        <v>48</v>
      </c>
      <c r="Q16" s="10"/>
      <c r="S16" s="10"/>
      <c r="U16" s="10"/>
      <c r="W16" s="10"/>
    </row>
    <row r="17" spans="1:23" ht="15" customHeight="1" x14ac:dyDescent="0.2">
      <c r="A17" s="3134"/>
      <c r="B17" s="3144"/>
      <c r="C17" s="11">
        <v>6.3</v>
      </c>
      <c r="D17" s="12" t="s">
        <v>10</v>
      </c>
      <c r="E17" s="5">
        <f>'חמ"ע'!P237</f>
        <v>5</v>
      </c>
      <c r="F17" s="446">
        <f>+'חמ"ע'!R241</f>
        <v>11500</v>
      </c>
      <c r="G17" s="446">
        <f>+'חמ"ע'!S241</f>
        <v>0</v>
      </c>
      <c r="H17" s="446"/>
      <c r="I17" s="446">
        <f t="shared" si="0"/>
        <v>11500</v>
      </c>
      <c r="J17" s="446"/>
      <c r="K17" s="36"/>
      <c r="L17" s="1514"/>
      <c r="M17" s="110"/>
      <c r="N17" s="100" t="s">
        <v>51</v>
      </c>
      <c r="O17" s="36" t="s">
        <v>48</v>
      </c>
      <c r="Q17" s="10"/>
      <c r="S17" s="10"/>
      <c r="U17" s="10"/>
      <c r="W17" s="10"/>
    </row>
    <row r="18" spans="1:23" ht="15" customHeight="1" x14ac:dyDescent="0.2">
      <c r="A18" s="3134"/>
      <c r="B18" s="3144"/>
      <c r="C18" s="11">
        <v>6.4</v>
      </c>
      <c r="D18" s="12" t="s">
        <v>11</v>
      </c>
      <c r="E18" s="5">
        <f>+'חמ"ע'!P246</f>
        <v>2</v>
      </c>
      <c r="F18" s="446">
        <f>+'חמ"ע'!R251</f>
        <v>145560</v>
      </c>
      <c r="G18" s="446">
        <f>+'חמ"ע'!S251</f>
        <v>0</v>
      </c>
      <c r="H18" s="446"/>
      <c r="I18" s="446">
        <f t="shared" si="0"/>
        <v>145560</v>
      </c>
      <c r="J18" s="446">
        <f>'חמ"ע'!U246</f>
        <v>1</v>
      </c>
      <c r="K18" s="36">
        <f>'חמ"ע'!V251</f>
        <v>72780</v>
      </c>
      <c r="L18" s="1514"/>
      <c r="M18" s="110"/>
      <c r="N18" s="100" t="s">
        <v>51</v>
      </c>
      <c r="O18" s="36" t="s">
        <v>48</v>
      </c>
      <c r="Q18" s="10"/>
      <c r="S18" s="10"/>
      <c r="U18" s="10"/>
      <c r="W18" s="10"/>
    </row>
    <row r="19" spans="1:23" ht="15" customHeight="1" x14ac:dyDescent="0.2">
      <c r="A19" s="3134"/>
      <c r="B19" s="2872" t="s">
        <v>53</v>
      </c>
      <c r="C19" s="11">
        <v>6.5</v>
      </c>
      <c r="D19" s="5" t="s">
        <v>12</v>
      </c>
      <c r="E19" s="5">
        <f>'חמ"ע'!P257</f>
        <v>22</v>
      </c>
      <c r="F19" s="446">
        <f>'חמ"ע'!R270</f>
        <v>549092.72</v>
      </c>
      <c r="G19" s="446">
        <f>'חמ"ע'!S270</f>
        <v>0</v>
      </c>
      <c r="H19" s="446"/>
      <c r="I19" s="446">
        <f t="shared" si="0"/>
        <v>549092.72</v>
      </c>
      <c r="J19" s="446">
        <f>E19</f>
        <v>22</v>
      </c>
      <c r="K19" s="36">
        <f>'חמ"ע'!V270</f>
        <v>971804.67999999993</v>
      </c>
      <c r="L19" s="1514"/>
      <c r="M19" s="110"/>
      <c r="N19" s="100" t="s">
        <v>51</v>
      </c>
      <c r="O19" s="36" t="s">
        <v>48</v>
      </c>
      <c r="Q19" s="10"/>
      <c r="S19" s="10"/>
      <c r="U19" s="10"/>
      <c r="W19" s="10"/>
    </row>
    <row r="20" spans="1:23" ht="14.25" customHeight="1" x14ac:dyDescent="0.2">
      <c r="A20" s="3134"/>
      <c r="B20" s="633"/>
      <c r="C20" s="11">
        <v>8</v>
      </c>
      <c r="D20" s="634" t="s">
        <v>82</v>
      </c>
      <c r="E20" s="5"/>
      <c r="F20" s="446">
        <f>'חמ"ע'!R285</f>
        <v>1002500</v>
      </c>
      <c r="G20" s="446">
        <f>'חמ"ע'!S285</f>
        <v>0</v>
      </c>
      <c r="H20" s="446"/>
      <c r="I20" s="446">
        <f t="shared" si="0"/>
        <v>1002500</v>
      </c>
      <c r="J20" s="446"/>
      <c r="K20" s="36">
        <f>'חמ"ע'!V285</f>
        <v>12500</v>
      </c>
      <c r="L20" s="1514"/>
      <c r="M20" s="110"/>
      <c r="N20" s="101"/>
      <c r="O20" s="75"/>
      <c r="Q20" s="10"/>
      <c r="S20" s="10"/>
      <c r="U20" s="10"/>
      <c r="W20" s="10"/>
    </row>
    <row r="21" spans="1:23" ht="14.25" customHeight="1" x14ac:dyDescent="0.2">
      <c r="A21" s="3135"/>
      <c r="B21" s="631"/>
      <c r="C21" s="1683"/>
      <c r="D21" s="632" t="s">
        <v>665</v>
      </c>
      <c r="E21" s="530">
        <f>'חמ"ע'!P290</f>
        <v>75</v>
      </c>
      <c r="F21" s="1517">
        <f>'חמ"ע'!R293</f>
        <v>150000</v>
      </c>
      <c r="G21" s="1517">
        <f>'חמ"ע'!S293</f>
        <v>0</v>
      </c>
      <c r="H21" s="1517"/>
      <c r="I21" s="446">
        <f t="shared" si="0"/>
        <v>150000</v>
      </c>
      <c r="J21" s="1517"/>
      <c r="K21" s="1518"/>
      <c r="L21" s="75"/>
      <c r="M21" s="1563"/>
      <c r="N21" s="101"/>
      <c r="O21" s="75"/>
      <c r="Q21" s="10"/>
      <c r="S21" s="10"/>
      <c r="U21" s="10"/>
      <c r="W21" s="10"/>
    </row>
    <row r="22" spans="1:23" ht="14.25" customHeight="1" x14ac:dyDescent="0.2">
      <c r="A22" s="3135"/>
      <c r="B22" s="631"/>
      <c r="C22" s="1683"/>
      <c r="D22" s="632" t="s">
        <v>647</v>
      </c>
      <c r="E22" s="530"/>
      <c r="F22" s="1517"/>
      <c r="G22" s="1517"/>
      <c r="H22" s="1517"/>
      <c r="I22" s="446">
        <f t="shared" si="0"/>
        <v>0</v>
      </c>
      <c r="J22" s="446">
        <f>'חמ"ע'!U300</f>
        <v>5</v>
      </c>
      <c r="K22" s="1518">
        <f>'חמ"ע'!V300</f>
        <v>134900</v>
      </c>
      <c r="L22" s="75"/>
      <c r="M22" s="1563"/>
      <c r="N22" s="101"/>
      <c r="O22" s="75"/>
      <c r="Q22" s="10"/>
      <c r="S22" s="10"/>
      <c r="U22" s="10"/>
      <c r="W22" s="10"/>
    </row>
    <row r="23" spans="1:23" ht="14.25" customHeight="1" x14ac:dyDescent="0.2">
      <c r="A23" s="3135"/>
      <c r="B23" s="631"/>
      <c r="C23" s="1684"/>
      <c r="D23" s="632" t="s">
        <v>577</v>
      </c>
      <c r="E23" s="530">
        <f>'חמ"ע'!P305</f>
        <v>500</v>
      </c>
      <c r="F23" s="1517">
        <f>'חמ"ע'!R308</f>
        <v>60000</v>
      </c>
      <c r="G23" s="1517"/>
      <c r="H23" s="1517"/>
      <c r="I23" s="446">
        <f t="shared" si="0"/>
        <v>60000</v>
      </c>
      <c r="J23" s="1517"/>
      <c r="K23" s="1518"/>
      <c r="L23" s="75"/>
      <c r="M23" s="1563"/>
      <c r="N23" s="101"/>
      <c r="O23" s="75"/>
      <c r="Q23" s="10"/>
      <c r="S23" s="10"/>
      <c r="U23" s="10"/>
      <c r="W23" s="10"/>
    </row>
    <row r="24" spans="1:23" s="9" customFormat="1" ht="15.75" thickBot="1" x14ac:dyDescent="0.3">
      <c r="A24" s="3136"/>
      <c r="B24" s="150"/>
      <c r="C24" s="150"/>
      <c r="D24" s="151" t="s">
        <v>32</v>
      </c>
      <c r="E24" s="1564">
        <f>-F24+'חמ"ע'!R311</f>
        <v>0</v>
      </c>
      <c r="F24" s="1519">
        <f>SUM(F2:F23)</f>
        <v>15767403.150948524</v>
      </c>
      <c r="G24" s="1519">
        <f t="shared" ref="G24:M24" si="1">SUM(G2:G23)</f>
        <v>666620.58627142862</v>
      </c>
      <c r="H24" s="1519">
        <f t="shared" si="1"/>
        <v>0</v>
      </c>
      <c r="I24" s="1519">
        <f>SUM(I2:I23)</f>
        <v>15767403.150948524</v>
      </c>
      <c r="J24" s="1519">
        <f t="shared" si="1"/>
        <v>239</v>
      </c>
      <c r="K24" s="1519">
        <f>SUM(K2:K23)</f>
        <v>13873967.018095238</v>
      </c>
      <c r="L24" s="1519">
        <f t="shared" si="1"/>
        <v>0</v>
      </c>
      <c r="M24" s="1559">
        <f t="shared" si="1"/>
        <v>0</v>
      </c>
      <c r="N24" s="1561">
        <f>SUM(N2:N22)</f>
        <v>0</v>
      </c>
      <c r="O24" s="123">
        <f>SUM(O2:O22)</f>
        <v>0</v>
      </c>
      <c r="P24" s="2850">
        <f>-F24+'חמ"ע'!R311</f>
        <v>0</v>
      </c>
      <c r="Q24" s="2850">
        <f>-G24+'חמ"ע'!S311</f>
        <v>0</v>
      </c>
      <c r="R24" s="2850">
        <f>-H24+'חמ"ע'!T311</f>
        <v>0</v>
      </c>
      <c r="S24" s="2850">
        <f>-K24-M24+'חמ"ע'!V311</f>
        <v>0</v>
      </c>
      <c r="U24" s="10"/>
      <c r="W24" s="10"/>
    </row>
    <row r="25" spans="1:23" thickBot="1" x14ac:dyDescent="0.25">
      <c r="A25" s="3145" t="s">
        <v>14</v>
      </c>
      <c r="B25" s="3149" t="s">
        <v>4</v>
      </c>
      <c r="C25" s="1685">
        <v>1</v>
      </c>
      <c r="D25" s="15" t="s">
        <v>534</v>
      </c>
      <c r="E25" s="15">
        <f>צרפת!M4+צרפת!M13</f>
        <v>6</v>
      </c>
      <c r="F25" s="1520">
        <f>צרפת!O22</f>
        <v>1053519.6000000001</v>
      </c>
      <c r="G25" s="1520"/>
      <c r="H25" s="1521"/>
      <c r="I25" s="1521">
        <f>F25</f>
        <v>1053519.6000000001</v>
      </c>
      <c r="J25" s="1521"/>
      <c r="K25" s="1521"/>
      <c r="L25" s="1522"/>
      <c r="M25" s="16"/>
      <c r="N25" s="65" t="s">
        <v>50</v>
      </c>
      <c r="O25" s="16" t="s">
        <v>49</v>
      </c>
      <c r="Q25" s="10"/>
      <c r="S25" s="10"/>
      <c r="U25" s="10"/>
      <c r="W25" s="10"/>
    </row>
    <row r="26" spans="1:23" ht="14.25" x14ac:dyDescent="0.2">
      <c r="A26" s="3146"/>
      <c r="B26" s="3150"/>
      <c r="C26" s="1686">
        <v>1</v>
      </c>
      <c r="D26" s="15" t="s">
        <v>625</v>
      </c>
      <c r="E26" s="82">
        <f>צרפת!M29</f>
        <v>2</v>
      </c>
      <c r="F26" s="1523">
        <f>צרפת!O37</f>
        <v>489880</v>
      </c>
      <c r="G26" s="1523"/>
      <c r="H26" s="96">
        <f>F26</f>
        <v>489880</v>
      </c>
      <c r="I26" s="96"/>
      <c r="J26" s="96"/>
      <c r="K26" s="96"/>
      <c r="L26" s="1524"/>
      <c r="M26" s="554"/>
      <c r="N26" s="555"/>
      <c r="O26" s="554"/>
      <c r="Q26" s="10"/>
      <c r="S26" s="10"/>
      <c r="U26" s="10"/>
      <c r="W26" s="10"/>
    </row>
    <row r="27" spans="1:23" ht="14.25" customHeight="1" x14ac:dyDescent="0.2">
      <c r="A27" s="3147"/>
      <c r="B27" s="3151"/>
      <c r="C27" s="1687">
        <v>2</v>
      </c>
      <c r="D27" s="14" t="s">
        <v>542</v>
      </c>
      <c r="E27" s="14">
        <f>צרפת!M45</f>
        <v>2</v>
      </c>
      <c r="F27" s="34">
        <f>צרפת!O54</f>
        <v>325362.08</v>
      </c>
      <c r="G27" s="34"/>
      <c r="H27" s="34"/>
      <c r="I27" s="34">
        <f>F27</f>
        <v>325362.08</v>
      </c>
      <c r="J27" s="34"/>
      <c r="K27" s="34"/>
      <c r="L27" s="1526"/>
      <c r="M27" s="17"/>
      <c r="N27" s="30" t="s">
        <v>50</v>
      </c>
      <c r="O27" s="17" t="s">
        <v>49</v>
      </c>
      <c r="Q27" s="10"/>
      <c r="S27" s="10"/>
      <c r="U27" s="10"/>
      <c r="W27" s="10"/>
    </row>
    <row r="28" spans="1:23" ht="14.25" customHeight="1" x14ac:dyDescent="0.2">
      <c r="A28" s="3147"/>
      <c r="B28" s="2870" t="s">
        <v>58</v>
      </c>
      <c r="C28" s="13">
        <v>3</v>
      </c>
      <c r="D28" s="14" t="s">
        <v>56</v>
      </c>
      <c r="E28" s="14">
        <f>צרפת!M65</f>
        <v>150</v>
      </c>
      <c r="F28" s="1525">
        <f>צרפת!O78</f>
        <v>3313468</v>
      </c>
      <c r="G28" s="1525">
        <f>צרפת!P78</f>
        <v>92880</v>
      </c>
      <c r="H28" s="34">
        <f>F28</f>
        <v>3313468</v>
      </c>
      <c r="I28" s="34"/>
      <c r="J28" s="34"/>
      <c r="K28" s="34"/>
      <c r="L28" s="1526"/>
      <c r="M28" s="17"/>
      <c r="N28" s="30" t="s">
        <v>51</v>
      </c>
      <c r="O28" s="17" t="s">
        <v>46</v>
      </c>
      <c r="Q28" s="10"/>
      <c r="S28" s="10"/>
      <c r="U28" s="10"/>
      <c r="W28" s="10"/>
    </row>
    <row r="29" spans="1:23" ht="14.25" customHeight="1" x14ac:dyDescent="0.2">
      <c r="A29" s="3147"/>
      <c r="B29" s="3152" t="s">
        <v>29</v>
      </c>
      <c r="C29" s="13">
        <v>4</v>
      </c>
      <c r="D29" s="35" t="s">
        <v>545</v>
      </c>
      <c r="E29" s="14">
        <f>צרפת!M85</f>
        <v>5</v>
      </c>
      <c r="F29" s="1525">
        <f>צרפת!O91</f>
        <v>520610</v>
      </c>
      <c r="G29" s="1525"/>
      <c r="H29" s="34"/>
      <c r="I29" s="34">
        <f>F29</f>
        <v>520610</v>
      </c>
      <c r="J29" s="34"/>
      <c r="K29" s="34"/>
      <c r="L29" s="1526"/>
      <c r="M29" s="17"/>
      <c r="N29" s="30" t="s">
        <v>50</v>
      </c>
      <c r="O29" s="17" t="s">
        <v>49</v>
      </c>
      <c r="Q29" s="10"/>
      <c r="S29" s="10"/>
      <c r="U29" s="10"/>
      <c r="W29" s="10"/>
    </row>
    <row r="30" spans="1:23" ht="14.25" customHeight="1" x14ac:dyDescent="0.2">
      <c r="A30" s="3147"/>
      <c r="B30" s="3152"/>
      <c r="C30" s="13">
        <v>5</v>
      </c>
      <c r="D30" s="35" t="s">
        <v>659</v>
      </c>
      <c r="E30" s="14">
        <f>צרפת!M97</f>
        <v>30</v>
      </c>
      <c r="F30" s="1525">
        <f>צרפת!O104</f>
        <v>750600</v>
      </c>
      <c r="G30" s="1525"/>
      <c r="H30" s="34"/>
      <c r="I30" s="34">
        <f>F30</f>
        <v>750600</v>
      </c>
      <c r="J30" s="34"/>
      <c r="K30" s="34"/>
      <c r="L30" s="1526"/>
      <c r="M30" s="17"/>
      <c r="N30" s="30" t="s">
        <v>50</v>
      </c>
      <c r="O30" s="17"/>
      <c r="Q30" s="10"/>
      <c r="S30" s="10"/>
      <c r="U30" s="10"/>
      <c r="W30" s="10"/>
    </row>
    <row r="31" spans="1:23" ht="14.25" customHeight="1" x14ac:dyDescent="0.2">
      <c r="A31" s="3147"/>
      <c r="B31" s="3152" t="s">
        <v>70</v>
      </c>
      <c r="C31" s="13">
        <v>6</v>
      </c>
      <c r="D31" s="14" t="s">
        <v>67</v>
      </c>
      <c r="E31" s="14">
        <v>1</v>
      </c>
      <c r="F31" s="1525">
        <f>צרפת!O121</f>
        <v>689643.95</v>
      </c>
      <c r="G31" s="1525">
        <f>צרפת!P121</f>
        <v>67297.05</v>
      </c>
      <c r="H31" s="34">
        <f>F31</f>
        <v>689643.95</v>
      </c>
      <c r="I31" s="34"/>
      <c r="J31" s="34"/>
      <c r="K31" s="34"/>
      <c r="L31" s="1526"/>
      <c r="M31" s="17">
        <f>צרפת!S121</f>
        <v>1000000</v>
      </c>
      <c r="N31" s="30"/>
      <c r="O31" s="17"/>
      <c r="Q31" s="10"/>
      <c r="S31" s="10"/>
      <c r="U31" s="10"/>
      <c r="W31" s="10"/>
    </row>
    <row r="32" spans="1:23" ht="14.25" customHeight="1" x14ac:dyDescent="0.2">
      <c r="A32" s="3147"/>
      <c r="B32" s="3152"/>
      <c r="C32" s="13">
        <v>7</v>
      </c>
      <c r="D32" s="14" t="s">
        <v>74</v>
      </c>
      <c r="E32" s="14">
        <v>1</v>
      </c>
      <c r="F32" s="1525">
        <f>צרפת!O138</f>
        <v>1330760</v>
      </c>
      <c r="G32" s="1525">
        <f>צרפת!P138</f>
        <v>55440</v>
      </c>
      <c r="H32" s="34">
        <f>F32</f>
        <v>1330760</v>
      </c>
      <c r="I32" s="34"/>
      <c r="J32" s="34"/>
      <c r="K32" s="34"/>
      <c r="L32" s="1526"/>
      <c r="M32" s="17">
        <f>צרפת!S138</f>
        <v>314560</v>
      </c>
      <c r="N32" s="30" t="s">
        <v>50</v>
      </c>
      <c r="O32" s="17"/>
      <c r="Q32" s="10"/>
      <c r="S32" s="10"/>
      <c r="U32" s="10"/>
      <c r="W32" s="10"/>
    </row>
    <row r="33" spans="1:23" ht="28.5" x14ac:dyDescent="0.2">
      <c r="A33" s="3147"/>
      <c r="B33" s="3152"/>
      <c r="C33" s="13">
        <v>8</v>
      </c>
      <c r="D33" s="168" t="s">
        <v>73</v>
      </c>
      <c r="E33" s="14"/>
      <c r="F33" s="1525">
        <f>צרפת!O155</f>
        <v>632956</v>
      </c>
      <c r="G33" s="1525"/>
      <c r="H33" s="34">
        <f>F33</f>
        <v>632956</v>
      </c>
      <c r="I33" s="34"/>
      <c r="J33" s="34"/>
      <c r="K33" s="34"/>
      <c r="L33" s="1526"/>
      <c r="M33" s="17"/>
      <c r="N33" s="30" t="s">
        <v>50</v>
      </c>
      <c r="O33" s="17"/>
      <c r="Q33" s="10"/>
      <c r="S33" s="10"/>
      <c r="U33" s="10"/>
      <c r="W33" s="10"/>
    </row>
    <row r="34" spans="1:23" ht="14.25" customHeight="1" x14ac:dyDescent="0.2">
      <c r="A34" s="3147"/>
      <c r="B34" s="2871" t="s">
        <v>37</v>
      </c>
      <c r="C34" s="13">
        <v>9</v>
      </c>
      <c r="D34" s="14" t="s">
        <v>178</v>
      </c>
      <c r="E34" s="14">
        <f>צרפת!M160</f>
        <v>2</v>
      </c>
      <c r="F34" s="1525">
        <f>צרפת!O163</f>
        <v>43840</v>
      </c>
      <c r="G34" s="1525"/>
      <c r="H34" s="34">
        <f>F34</f>
        <v>43840</v>
      </c>
      <c r="I34" s="34"/>
      <c r="J34" s="34"/>
      <c r="K34" s="34"/>
      <c r="L34" s="1526"/>
      <c r="M34" s="17"/>
      <c r="N34" s="30" t="s">
        <v>50</v>
      </c>
      <c r="O34" s="17"/>
      <c r="Q34" s="10"/>
      <c r="S34" s="10"/>
      <c r="U34" s="10"/>
      <c r="W34" s="10"/>
    </row>
    <row r="35" spans="1:23" ht="14.25" customHeight="1" x14ac:dyDescent="0.2">
      <c r="A35" s="3147"/>
      <c r="B35" s="3153" t="s">
        <v>6</v>
      </c>
      <c r="C35" s="13">
        <v>10</v>
      </c>
      <c r="D35" s="35" t="s">
        <v>660</v>
      </c>
      <c r="E35" s="14">
        <f>צרפת!M169</f>
        <v>7</v>
      </c>
      <c r="F35" s="1525">
        <f>צרפת!O173</f>
        <v>1426937.5</v>
      </c>
      <c r="G35" s="1525">
        <f>צרפת!P173</f>
        <v>251812.5</v>
      </c>
      <c r="H35" s="34"/>
      <c r="I35" s="34">
        <f t="shared" ref="I35:I43" si="2">F35</f>
        <v>1426937.5</v>
      </c>
      <c r="J35" s="34">
        <f>צרפת!H169</f>
        <v>11</v>
      </c>
      <c r="K35" s="34">
        <f>צרפת!S173</f>
        <v>3097500</v>
      </c>
      <c r="L35" s="1526"/>
      <c r="M35" s="17"/>
      <c r="N35" s="30" t="s">
        <v>50</v>
      </c>
      <c r="O35" s="17" t="s">
        <v>49</v>
      </c>
      <c r="Q35" s="10"/>
      <c r="S35" s="10"/>
      <c r="U35" s="10"/>
      <c r="W35" s="10"/>
    </row>
    <row r="36" spans="1:23" ht="14.25" customHeight="1" x14ac:dyDescent="0.2">
      <c r="A36" s="3147"/>
      <c r="B36" s="3153"/>
      <c r="C36" s="13">
        <v>11</v>
      </c>
      <c r="D36" s="35" t="s">
        <v>661</v>
      </c>
      <c r="E36" s="14">
        <f>צרפת!M179</f>
        <v>4</v>
      </c>
      <c r="F36" s="1525">
        <f>צרפת!O183</f>
        <v>314160</v>
      </c>
      <c r="G36" s="1525">
        <f>צרפת!P183</f>
        <v>55440</v>
      </c>
      <c r="H36" s="34"/>
      <c r="I36" s="34">
        <f t="shared" si="2"/>
        <v>314160</v>
      </c>
      <c r="J36" s="34"/>
      <c r="K36" s="34"/>
      <c r="L36" s="1526"/>
      <c r="M36" s="17"/>
      <c r="N36" s="30" t="s">
        <v>50</v>
      </c>
      <c r="O36" s="17" t="s">
        <v>49</v>
      </c>
      <c r="Q36" s="10"/>
      <c r="S36" s="10"/>
      <c r="U36" s="10"/>
      <c r="W36" s="10"/>
    </row>
    <row r="37" spans="1:23" ht="14.25" customHeight="1" x14ac:dyDescent="0.2">
      <c r="A37" s="3147"/>
      <c r="B37" s="3153"/>
      <c r="C37" s="13">
        <v>12</v>
      </c>
      <c r="D37" s="35" t="s">
        <v>662</v>
      </c>
      <c r="E37" s="14">
        <v>1</v>
      </c>
      <c r="F37" s="1525"/>
      <c r="G37" s="1525"/>
      <c r="H37" s="34"/>
      <c r="I37" s="34">
        <f t="shared" si="2"/>
        <v>0</v>
      </c>
      <c r="J37" s="34">
        <v>1</v>
      </c>
      <c r="K37" s="34">
        <f>צרפת!S190</f>
        <v>84500</v>
      </c>
      <c r="L37" s="1526"/>
      <c r="M37" s="17"/>
      <c r="N37" s="30" t="s">
        <v>50</v>
      </c>
      <c r="O37" s="17" t="s">
        <v>49</v>
      </c>
      <c r="Q37" s="10"/>
      <c r="S37" s="10"/>
      <c r="U37" s="10"/>
      <c r="W37" s="10"/>
    </row>
    <row r="38" spans="1:23" ht="14.25" customHeight="1" x14ac:dyDescent="0.2">
      <c r="A38" s="3147"/>
      <c r="B38" s="3153"/>
      <c r="C38" s="13">
        <v>13</v>
      </c>
      <c r="D38" s="35" t="s">
        <v>69</v>
      </c>
      <c r="E38" s="14">
        <f>צרפת!M194</f>
        <v>3</v>
      </c>
      <c r="F38" s="1525">
        <f>צרפת!O200</f>
        <v>858993</v>
      </c>
      <c r="G38" s="1525">
        <f>צרפת!P200</f>
        <v>151587</v>
      </c>
      <c r="H38" s="34"/>
      <c r="I38" s="34">
        <f>F38</f>
        <v>858993</v>
      </c>
      <c r="J38" s="34"/>
      <c r="K38" s="34"/>
      <c r="L38" s="1526"/>
      <c r="M38" s="17"/>
      <c r="N38" s="30" t="s">
        <v>50</v>
      </c>
      <c r="O38" s="17" t="s">
        <v>49</v>
      </c>
      <c r="Q38" s="10"/>
      <c r="S38" s="10"/>
      <c r="U38" s="10"/>
      <c r="W38" s="10"/>
    </row>
    <row r="39" spans="1:23" ht="15" customHeight="1" x14ac:dyDescent="0.2">
      <c r="A39" s="3147"/>
      <c r="B39" s="3153"/>
      <c r="C39" s="13">
        <v>14</v>
      </c>
      <c r="D39" s="35" t="s">
        <v>774</v>
      </c>
      <c r="E39" s="14">
        <f>צרפת!M206</f>
        <v>2</v>
      </c>
      <c r="F39" s="1525">
        <f>צרפת!O211</f>
        <v>440368</v>
      </c>
      <c r="G39" s="1525">
        <f>צרפת!P211</f>
        <v>77712</v>
      </c>
      <c r="H39" s="34"/>
      <c r="I39" s="34">
        <f t="shared" si="2"/>
        <v>440368</v>
      </c>
      <c r="J39" s="34"/>
      <c r="K39" s="34"/>
      <c r="L39" s="1526"/>
      <c r="M39" s="17"/>
      <c r="N39" s="30" t="s">
        <v>50</v>
      </c>
      <c r="O39" s="17" t="s">
        <v>49</v>
      </c>
      <c r="Q39" s="10"/>
      <c r="S39" s="10"/>
      <c r="U39" s="10"/>
      <c r="W39" s="10"/>
    </row>
    <row r="40" spans="1:23" ht="15" customHeight="1" x14ac:dyDescent="0.2">
      <c r="A40" s="3147"/>
      <c r="B40" s="2871" t="s">
        <v>26</v>
      </c>
      <c r="C40" s="13">
        <v>15</v>
      </c>
      <c r="D40" s="35" t="s">
        <v>562</v>
      </c>
      <c r="E40" s="14">
        <f>צרפת!M219</f>
        <v>6</v>
      </c>
      <c r="F40" s="1525">
        <f>צרפת!O223</f>
        <v>1010349.9999999995</v>
      </c>
      <c r="G40" s="1525"/>
      <c r="H40" s="34"/>
      <c r="I40" s="34">
        <f t="shared" si="2"/>
        <v>1010349.9999999995</v>
      </c>
      <c r="J40" s="34"/>
      <c r="K40" s="34"/>
      <c r="L40" s="1526"/>
      <c r="M40" s="17"/>
      <c r="N40" s="30" t="s">
        <v>50</v>
      </c>
      <c r="O40" s="17" t="s">
        <v>49</v>
      </c>
      <c r="Q40" s="10"/>
      <c r="S40" s="10"/>
      <c r="U40" s="10"/>
      <c r="W40" s="10"/>
    </row>
    <row r="41" spans="1:23" ht="15" customHeight="1" x14ac:dyDescent="0.2">
      <c r="A41" s="3147"/>
      <c r="B41" s="2871"/>
      <c r="C41" s="13">
        <v>16</v>
      </c>
      <c r="D41" s="35" t="s">
        <v>663</v>
      </c>
      <c r="E41" s="14">
        <f>צרפת!M228</f>
        <v>125</v>
      </c>
      <c r="F41" s="1525">
        <f>צרפת!O235</f>
        <v>351994</v>
      </c>
      <c r="G41" s="1525"/>
      <c r="H41" s="34"/>
      <c r="I41" s="34">
        <f t="shared" si="2"/>
        <v>351994</v>
      </c>
      <c r="J41" s="34">
        <f>צרפת!H228</f>
        <v>6</v>
      </c>
      <c r="K41" s="34">
        <f>צרפת!S235</f>
        <v>21888</v>
      </c>
      <c r="L41" s="1526"/>
      <c r="M41" s="17"/>
      <c r="N41" s="30" t="s">
        <v>50</v>
      </c>
      <c r="O41" s="17" t="s">
        <v>49</v>
      </c>
      <c r="Q41" s="10"/>
      <c r="S41" s="10"/>
      <c r="U41" s="10"/>
      <c r="W41" s="10"/>
    </row>
    <row r="42" spans="1:23" ht="15" customHeight="1" x14ac:dyDescent="0.2">
      <c r="A42" s="3147"/>
      <c r="B42" s="2870"/>
      <c r="C42" s="13">
        <v>17</v>
      </c>
      <c r="D42" s="35" t="s">
        <v>82</v>
      </c>
      <c r="E42" s="14"/>
      <c r="F42" s="1525">
        <f>צרפת!O247</f>
        <v>199400</v>
      </c>
      <c r="G42" s="1525"/>
      <c r="H42" s="1525"/>
      <c r="I42" s="34">
        <f t="shared" si="2"/>
        <v>199400</v>
      </c>
      <c r="J42" s="34"/>
      <c r="K42" s="34"/>
      <c r="L42" s="1526"/>
      <c r="M42" s="17"/>
      <c r="N42" s="66" t="s">
        <v>50</v>
      </c>
      <c r="O42" s="43" t="s">
        <v>49</v>
      </c>
      <c r="Q42" s="10"/>
      <c r="S42" s="10"/>
      <c r="U42" s="10"/>
      <c r="W42" s="10"/>
    </row>
    <row r="43" spans="1:23" ht="14.25" customHeight="1" x14ac:dyDescent="0.2">
      <c r="A43" s="3147"/>
      <c r="B43" s="80"/>
      <c r="C43" s="13">
        <v>18</v>
      </c>
      <c r="D43" s="35" t="s">
        <v>35</v>
      </c>
      <c r="E43" s="14">
        <f>צרפת!M252</f>
        <v>35</v>
      </c>
      <c r="F43" s="1525">
        <f>צרפת!O254</f>
        <v>77000</v>
      </c>
      <c r="G43" s="1525"/>
      <c r="H43" s="34"/>
      <c r="I43" s="34">
        <f t="shared" si="2"/>
        <v>77000</v>
      </c>
      <c r="J43" s="34"/>
      <c r="K43" s="34"/>
      <c r="L43" s="1526"/>
      <c r="M43" s="17"/>
      <c r="N43" s="30" t="s">
        <v>51</v>
      </c>
      <c r="O43" s="17" t="s">
        <v>48</v>
      </c>
      <c r="Q43" s="10"/>
      <c r="S43" s="10"/>
      <c r="U43" s="10"/>
      <c r="W43" s="10"/>
    </row>
    <row r="44" spans="1:23" ht="14.25" customHeight="1" x14ac:dyDescent="0.2">
      <c r="A44" s="3147"/>
      <c r="B44" s="80"/>
      <c r="C44" s="13"/>
      <c r="D44" s="35" t="s">
        <v>574</v>
      </c>
      <c r="E44" s="14">
        <f>צרפת!M261</f>
        <v>1</v>
      </c>
      <c r="F44" s="1525">
        <f>צרפת!O264</f>
        <v>230000</v>
      </c>
      <c r="G44" s="1525"/>
      <c r="H44" s="34"/>
      <c r="I44" s="34">
        <f>F44</f>
        <v>230000</v>
      </c>
      <c r="J44" s="34"/>
      <c r="K44" s="34"/>
      <c r="L44" s="1526"/>
      <c r="M44" s="17"/>
      <c r="N44" s="602"/>
      <c r="O44" s="603"/>
      <c r="Q44" s="10"/>
      <c r="S44" s="10"/>
      <c r="U44" s="10"/>
      <c r="W44" s="10"/>
    </row>
    <row r="45" spans="1:23" ht="14.25" customHeight="1" x14ac:dyDescent="0.2">
      <c r="A45" s="3147"/>
      <c r="B45" s="80"/>
      <c r="C45" s="13"/>
      <c r="D45" s="35" t="s">
        <v>577</v>
      </c>
      <c r="E45" s="14">
        <f>צרפת!M271+צרפת!M272</f>
        <v>10</v>
      </c>
      <c r="F45" s="1525">
        <f>צרפת!O277</f>
        <v>251408</v>
      </c>
      <c r="G45" s="1525"/>
      <c r="H45" s="34"/>
      <c r="I45" s="34">
        <f>F45</f>
        <v>251408</v>
      </c>
      <c r="J45" s="34"/>
      <c r="K45" s="34"/>
      <c r="L45" s="1526"/>
      <c r="M45" s="17"/>
      <c r="N45" s="602"/>
      <c r="O45" s="603"/>
      <c r="Q45" s="10"/>
      <c r="S45" s="10"/>
      <c r="U45" s="10"/>
      <c r="W45" s="10"/>
    </row>
    <row r="46" spans="1:23" ht="15" customHeight="1" x14ac:dyDescent="0.2">
      <c r="A46" s="3147"/>
      <c r="B46" s="2871"/>
      <c r="C46" s="13"/>
      <c r="D46" s="166" t="s">
        <v>60</v>
      </c>
      <c r="E46" s="14"/>
      <c r="F46" s="1525"/>
      <c r="G46" s="1525"/>
      <c r="H46" s="1525"/>
      <c r="I46" s="1525"/>
      <c r="J46" s="1525"/>
      <c r="K46" s="1525"/>
      <c r="L46" s="1528"/>
      <c r="M46" s="43">
        <f>צרפת!S283</f>
        <v>200000</v>
      </c>
      <c r="N46" s="74"/>
      <c r="O46" s="73"/>
      <c r="Q46" s="10"/>
      <c r="S46" s="10"/>
      <c r="U46" s="10"/>
      <c r="W46" s="10"/>
    </row>
    <row r="47" spans="1:23" ht="15.75" thickBot="1" x14ac:dyDescent="0.3">
      <c r="A47" s="3148"/>
      <c r="B47" s="56"/>
      <c r="C47" s="1688"/>
      <c r="D47" s="148" t="s">
        <v>18</v>
      </c>
      <c r="E47" s="1565">
        <f>-F47+צרפת!O285</f>
        <v>0</v>
      </c>
      <c r="F47" s="37">
        <f>SUM(F25:F46)</f>
        <v>14311250.129999999</v>
      </c>
      <c r="G47" s="37">
        <f t="shared" ref="G47:M47" si="3">SUM(G25:G46)</f>
        <v>752168.55</v>
      </c>
      <c r="H47" s="37">
        <f t="shared" si="3"/>
        <v>6500547.9500000002</v>
      </c>
      <c r="I47" s="37">
        <f t="shared" si="3"/>
        <v>7810702.1799999997</v>
      </c>
      <c r="J47" s="37">
        <f t="shared" si="3"/>
        <v>18</v>
      </c>
      <c r="K47" s="37">
        <f t="shared" si="3"/>
        <v>3203888</v>
      </c>
      <c r="L47" s="37">
        <f t="shared" si="3"/>
        <v>0</v>
      </c>
      <c r="M47" s="37">
        <f t="shared" si="3"/>
        <v>1514560</v>
      </c>
      <c r="N47" s="128">
        <f>SUM(N25:N46)</f>
        <v>0</v>
      </c>
      <c r="O47" s="128">
        <f>SUM(O25:O46)</f>
        <v>0</v>
      </c>
      <c r="P47" s="4">
        <f>-F47+צרפת!O285</f>
        <v>0</v>
      </c>
      <c r="Q47" s="4">
        <f>-G47+צרפת!P285</f>
        <v>0</v>
      </c>
      <c r="R47" s="4"/>
      <c r="S47" s="4">
        <f>-M47-K47+צרפת!S285</f>
        <v>0</v>
      </c>
      <c r="U47" s="10"/>
      <c r="W47" s="10"/>
    </row>
    <row r="48" spans="1:23" ht="14.25" x14ac:dyDescent="0.2">
      <c r="A48" s="3127" t="s">
        <v>22</v>
      </c>
      <c r="B48" s="131" t="s">
        <v>55</v>
      </c>
      <c r="C48" s="1689">
        <v>1</v>
      </c>
      <c r="D48" s="19" t="s">
        <v>415</v>
      </c>
      <c r="E48" s="19">
        <f>ארגנטינה!P4</f>
        <v>3</v>
      </c>
      <c r="F48" s="29">
        <f>+ארגנטינה!R9</f>
        <v>575510</v>
      </c>
      <c r="G48" s="29">
        <f>+ארגנטינה!S9</f>
        <v>0</v>
      </c>
      <c r="H48" s="29"/>
      <c r="I48" s="29">
        <f>F48</f>
        <v>575510</v>
      </c>
      <c r="J48" s="29"/>
      <c r="K48" s="29"/>
      <c r="L48" s="1529"/>
      <c r="M48" s="132"/>
      <c r="N48" s="102" t="s">
        <v>50</v>
      </c>
      <c r="O48" s="28" t="s">
        <v>46</v>
      </c>
      <c r="Q48" s="10"/>
      <c r="S48" s="10"/>
      <c r="U48" s="10"/>
      <c r="W48" s="10"/>
    </row>
    <row r="49" spans="1:23" ht="14.25" x14ac:dyDescent="0.2">
      <c r="A49" s="3128"/>
      <c r="B49" s="2874" t="s">
        <v>57</v>
      </c>
      <c r="C49" s="8">
        <v>2</v>
      </c>
      <c r="D49" s="1" t="s">
        <v>57</v>
      </c>
      <c r="E49" s="1">
        <f>ארגנטינה!P18</f>
        <v>35</v>
      </c>
      <c r="F49" s="2">
        <f>ארגנטינה!R31</f>
        <v>691671</v>
      </c>
      <c r="G49" s="2">
        <f>ארגנטינה!S31</f>
        <v>0</v>
      </c>
      <c r="H49" s="2">
        <f>F49</f>
        <v>691671</v>
      </c>
      <c r="I49" s="2"/>
      <c r="J49" s="2"/>
      <c r="K49" s="2"/>
      <c r="L49" s="1530"/>
      <c r="M49" s="3"/>
      <c r="N49" s="103" t="s">
        <v>50</v>
      </c>
      <c r="O49" s="3" t="s">
        <v>46</v>
      </c>
      <c r="Q49" s="10"/>
      <c r="S49" s="10"/>
      <c r="U49" s="10"/>
      <c r="W49" s="10"/>
    </row>
    <row r="50" spans="1:23" ht="15" customHeight="1" x14ac:dyDescent="0.2">
      <c r="A50" s="3128"/>
      <c r="B50" s="3130" t="s">
        <v>6</v>
      </c>
      <c r="C50" s="8">
        <v>3</v>
      </c>
      <c r="D50" s="1" t="s">
        <v>63</v>
      </c>
      <c r="E50" s="1">
        <f>ארגנטינה!P36</f>
        <v>0.6</v>
      </c>
      <c r="F50" s="2">
        <f>ארגנטינה!R39</f>
        <v>165699</v>
      </c>
      <c r="G50" s="2">
        <f>ארגנטינה!S39</f>
        <v>29241</v>
      </c>
      <c r="H50" s="2">
        <f>F50</f>
        <v>165699</v>
      </c>
      <c r="I50" s="2"/>
      <c r="J50" s="2"/>
      <c r="K50" s="2"/>
      <c r="L50" s="1530"/>
      <c r="M50" s="3">
        <f>ארגנטינה!V39</f>
        <v>356000</v>
      </c>
      <c r="N50" s="103"/>
      <c r="O50" s="3"/>
      <c r="Q50" s="10"/>
      <c r="S50" s="10"/>
      <c r="U50" s="10"/>
      <c r="W50" s="10"/>
    </row>
    <row r="51" spans="1:23" ht="15" customHeight="1" x14ac:dyDescent="0.2">
      <c r="A51" s="3128"/>
      <c r="B51" s="3130"/>
      <c r="C51" s="8">
        <v>9</v>
      </c>
      <c r="D51" s="1" t="s">
        <v>456</v>
      </c>
      <c r="E51" s="2">
        <f>ארגנטינה!P95</f>
        <v>1</v>
      </c>
      <c r="F51" s="2">
        <f>ארגנטינה!R98</f>
        <v>153425</v>
      </c>
      <c r="G51" s="2">
        <f>ארגנטינה!S98</f>
        <v>27075</v>
      </c>
      <c r="H51" s="2"/>
      <c r="I51" s="2">
        <f>F51</f>
        <v>153425</v>
      </c>
      <c r="J51" s="2"/>
      <c r="K51" s="2">
        <f>ארגנטינה!V98</f>
        <v>361000</v>
      </c>
      <c r="L51" s="1530"/>
      <c r="M51" s="3"/>
      <c r="N51" s="103"/>
      <c r="O51" s="3"/>
      <c r="Q51" s="10"/>
      <c r="S51" s="10"/>
      <c r="U51" s="10"/>
      <c r="W51" s="10"/>
    </row>
    <row r="52" spans="1:23" ht="14.25" x14ac:dyDescent="0.2">
      <c r="A52" s="3128"/>
      <c r="B52" s="2873"/>
      <c r="C52" s="8">
        <v>4</v>
      </c>
      <c r="D52" s="1" t="s">
        <v>435</v>
      </c>
      <c r="E52" s="1">
        <f>ארגנטינה!P44</f>
        <v>11</v>
      </c>
      <c r="F52" s="2">
        <f>ארגנטינה!R48</f>
        <v>338500</v>
      </c>
      <c r="G52" s="2">
        <f>ארגנטינה!S48</f>
        <v>0</v>
      </c>
      <c r="H52" s="2">
        <f>F52</f>
        <v>338500</v>
      </c>
      <c r="I52" s="2"/>
      <c r="J52" s="2"/>
      <c r="K52" s="2"/>
      <c r="L52" s="1530"/>
      <c r="M52" s="3"/>
      <c r="N52" s="103" t="s">
        <v>50</v>
      </c>
      <c r="O52" s="3"/>
      <c r="Q52" s="10"/>
      <c r="S52" s="10"/>
      <c r="U52" s="10"/>
      <c r="W52" s="10"/>
    </row>
    <row r="53" spans="1:23" ht="14.25" x14ac:dyDescent="0.2">
      <c r="A53" s="3128"/>
      <c r="B53" s="3131" t="s">
        <v>26</v>
      </c>
      <c r="C53" s="8">
        <v>5</v>
      </c>
      <c r="D53" s="1" t="s">
        <v>65</v>
      </c>
      <c r="E53" s="1">
        <f>ארגנטינה!P52</f>
        <v>1</v>
      </c>
      <c r="F53" s="2">
        <f>ארגנטינה!R56</f>
        <v>196222.5</v>
      </c>
      <c r="G53" s="2">
        <f>ארגנטינה!S56</f>
        <v>34627.5</v>
      </c>
      <c r="H53" s="2"/>
      <c r="I53" s="2">
        <f>F53</f>
        <v>196222.5</v>
      </c>
      <c r="J53" s="2"/>
      <c r="K53" s="2"/>
      <c r="L53" s="1530"/>
      <c r="M53" s="3"/>
      <c r="N53" s="103" t="s">
        <v>50</v>
      </c>
      <c r="O53" s="3" t="s">
        <v>47</v>
      </c>
      <c r="Q53" s="10"/>
      <c r="S53" s="10"/>
      <c r="U53" s="10"/>
      <c r="W53" s="10"/>
    </row>
    <row r="54" spans="1:23" ht="14.25" x14ac:dyDescent="0.2">
      <c r="A54" s="3128"/>
      <c r="B54" s="3131"/>
      <c r="C54" s="8">
        <v>6</v>
      </c>
      <c r="D54" s="1" t="s">
        <v>444</v>
      </c>
      <c r="E54" s="1">
        <f>ארגנטינה!P61</f>
        <v>1</v>
      </c>
      <c r="F54" s="2">
        <f>ארגנטינה!R66</f>
        <v>98860.160000000003</v>
      </c>
      <c r="G54" s="2">
        <f>ארגנטינה!S66</f>
        <v>0</v>
      </c>
      <c r="H54" s="2"/>
      <c r="I54" s="2">
        <f>F54</f>
        <v>98860.160000000003</v>
      </c>
      <c r="J54" s="2"/>
      <c r="K54" s="2"/>
      <c r="L54" s="1530"/>
      <c r="M54" s="3"/>
      <c r="N54" s="103"/>
      <c r="O54" s="3"/>
      <c r="Q54" s="10"/>
      <c r="S54" s="10"/>
      <c r="U54" s="10"/>
      <c r="W54" s="10"/>
    </row>
    <row r="55" spans="1:23" ht="14.25" x14ac:dyDescent="0.2">
      <c r="A55" s="3128"/>
      <c r="B55" s="2874" t="s">
        <v>28</v>
      </c>
      <c r="C55" s="8">
        <v>7</v>
      </c>
      <c r="D55" s="1" t="s">
        <v>448</v>
      </c>
      <c r="E55" s="1">
        <f>ארגנטינה!P73</f>
        <v>1</v>
      </c>
      <c r="F55" s="2">
        <f>ארגנטינה!R77</f>
        <v>164616</v>
      </c>
      <c r="G55" s="2">
        <f>ארגנטינה!S77</f>
        <v>26220</v>
      </c>
      <c r="H55" s="2">
        <f>F55</f>
        <v>164616</v>
      </c>
      <c r="I55" s="2"/>
      <c r="J55" s="2"/>
      <c r="K55" s="2"/>
      <c r="L55" s="1530"/>
      <c r="M55" s="3">
        <f>ארגנטינה!V77</f>
        <v>123780</v>
      </c>
      <c r="N55" s="103" t="s">
        <v>51</v>
      </c>
      <c r="O55" s="3" t="s">
        <v>48</v>
      </c>
      <c r="Q55" s="10"/>
      <c r="S55" s="10"/>
      <c r="U55" s="10"/>
      <c r="W55" s="10"/>
    </row>
    <row r="56" spans="1:23" ht="14.25" x14ac:dyDescent="0.2">
      <c r="A56" s="3128"/>
      <c r="B56" s="2874" t="s">
        <v>29</v>
      </c>
      <c r="C56" s="8">
        <v>8</v>
      </c>
      <c r="D56" s="1" t="s">
        <v>5</v>
      </c>
      <c r="E56" s="1">
        <f>ארגנטינה!P82</f>
        <v>1</v>
      </c>
      <c r="F56" s="2">
        <f>ארגנטינה!R90</f>
        <v>180310</v>
      </c>
      <c r="G56" s="2">
        <f>ארגנטינה!S90</f>
        <v>0</v>
      </c>
      <c r="H56" s="2"/>
      <c r="I56" s="2">
        <f>F56</f>
        <v>180310</v>
      </c>
      <c r="J56" s="2"/>
      <c r="K56" s="2"/>
      <c r="L56" s="1530"/>
      <c r="M56" s="3"/>
      <c r="N56" s="104"/>
      <c r="O56" s="71"/>
      <c r="Q56" s="10"/>
      <c r="S56" s="10"/>
      <c r="U56" s="10"/>
      <c r="W56" s="10"/>
    </row>
    <row r="57" spans="1:23" ht="14.25" x14ac:dyDescent="0.2">
      <c r="A57" s="3128"/>
      <c r="B57" s="2874"/>
      <c r="C57" s="8"/>
      <c r="D57" s="1" t="s">
        <v>609</v>
      </c>
      <c r="E57" s="1">
        <f>ארגנטינה!P122</f>
        <v>2</v>
      </c>
      <c r="F57" s="2">
        <f>ארגנטינה!R128</f>
        <v>182176</v>
      </c>
      <c r="G57" s="2">
        <f>ארגנטינה!S128</f>
        <v>0</v>
      </c>
      <c r="H57" s="2">
        <f>F57</f>
        <v>182176</v>
      </c>
      <c r="I57" s="2"/>
      <c r="J57" s="2"/>
      <c r="K57" s="2"/>
      <c r="L57" s="1530"/>
      <c r="M57" s="3"/>
      <c r="N57" s="104"/>
      <c r="O57" s="71"/>
      <c r="Q57" s="10"/>
      <c r="S57" s="10"/>
      <c r="U57" s="10"/>
      <c r="W57" s="10"/>
    </row>
    <row r="58" spans="1:23" ht="14.25" x14ac:dyDescent="0.2">
      <c r="A58" s="3128"/>
      <c r="B58" s="2874"/>
      <c r="C58" s="8"/>
      <c r="D58" s="1" t="str">
        <f>ארגנטינה!O103</f>
        <v>תגבור שליחויות קצרות לדרום אמריקה</v>
      </c>
      <c r="E58" s="1">
        <f>ארגנטינה!P105</f>
        <v>8</v>
      </c>
      <c r="F58" s="2">
        <f>ארגנטינה!R108</f>
        <v>165984</v>
      </c>
      <c r="G58" s="2">
        <f>ארגנטינה!S108</f>
        <v>0</v>
      </c>
      <c r="H58" s="2"/>
      <c r="I58" s="2">
        <f>F58</f>
        <v>165984</v>
      </c>
      <c r="J58" s="2"/>
      <c r="K58" s="2"/>
      <c r="L58" s="1530"/>
      <c r="M58" s="3"/>
      <c r="N58" s="104"/>
      <c r="O58" s="71"/>
      <c r="Q58" s="10"/>
      <c r="S58" s="10"/>
      <c r="U58" s="10"/>
      <c r="W58" s="10"/>
    </row>
    <row r="59" spans="1:23" ht="14.25" x14ac:dyDescent="0.2">
      <c r="A59" s="3128"/>
      <c r="B59" s="2874"/>
      <c r="C59" s="8"/>
      <c r="D59" s="1" t="str">
        <f>ארגנטינה!O111</f>
        <v>שווק ופרסום חומרים עידוד עלייה</v>
      </c>
      <c r="E59" s="1"/>
      <c r="F59" s="2">
        <f>ארגנטינה!R116</f>
        <v>98800</v>
      </c>
      <c r="G59" s="2"/>
      <c r="H59" s="2"/>
      <c r="I59" s="2">
        <f>F59</f>
        <v>98800</v>
      </c>
      <c r="J59" s="2"/>
      <c r="K59" s="2"/>
      <c r="L59" s="1530"/>
      <c r="M59" s="3"/>
      <c r="N59" s="104"/>
      <c r="O59" s="71"/>
      <c r="Q59" s="10"/>
      <c r="S59" s="10"/>
      <c r="U59" s="10"/>
      <c r="W59" s="10"/>
    </row>
    <row r="60" spans="1:23" ht="14.25" x14ac:dyDescent="0.2">
      <c r="A60" s="3128"/>
      <c r="B60" s="2874"/>
      <c r="C60" s="8"/>
      <c r="D60" s="1" t="s">
        <v>60</v>
      </c>
      <c r="E60" s="1"/>
      <c r="F60" s="2"/>
      <c r="G60" s="2"/>
      <c r="H60" s="2"/>
      <c r="I60" s="2"/>
      <c r="J60" s="2"/>
      <c r="K60" s="2"/>
      <c r="L60" s="1530"/>
      <c r="M60" s="3">
        <f>ארגנטינה!V135</f>
        <v>200000</v>
      </c>
      <c r="N60" s="104"/>
      <c r="O60" s="71"/>
      <c r="Q60" s="10"/>
      <c r="S60" s="10"/>
      <c r="U60" s="10"/>
      <c r="W60" s="10"/>
    </row>
    <row r="61" spans="1:23" ht="15.75" thickBot="1" x14ac:dyDescent="0.3">
      <c r="A61" s="3129"/>
      <c r="B61" s="133"/>
      <c r="C61" s="1690"/>
      <c r="D61" s="147" t="s">
        <v>24</v>
      </c>
      <c r="E61" s="1566">
        <f>-F61+ארגנטינה!R137</f>
        <v>0</v>
      </c>
      <c r="F61" s="97">
        <f t="shared" ref="F61:M61" si="4">SUM(F48:F60)</f>
        <v>3011773.66</v>
      </c>
      <c r="G61" s="97">
        <f t="shared" si="4"/>
        <v>117163.5</v>
      </c>
      <c r="H61" s="97">
        <f t="shared" si="4"/>
        <v>1542662</v>
      </c>
      <c r="I61" s="97">
        <f t="shared" si="4"/>
        <v>1469111.6600000001</v>
      </c>
      <c r="J61" s="97">
        <f t="shared" si="4"/>
        <v>0</v>
      </c>
      <c r="K61" s="97">
        <f t="shared" si="4"/>
        <v>361000</v>
      </c>
      <c r="L61" s="97">
        <f t="shared" si="4"/>
        <v>0</v>
      </c>
      <c r="M61" s="33">
        <f t="shared" si="4"/>
        <v>679780</v>
      </c>
      <c r="N61" s="105"/>
      <c r="O61" s="33"/>
      <c r="P61" s="4">
        <f>-F61+ארגנטינה!R137</f>
        <v>0</v>
      </c>
      <c r="Q61" s="4">
        <f>-G61+ארגנטינה!S137</f>
        <v>0</v>
      </c>
      <c r="R61" s="10">
        <f>-M61-K61+ארגנטינה!V137</f>
        <v>0</v>
      </c>
      <c r="S61" s="10"/>
      <c r="U61" s="10"/>
      <c r="W61" s="10"/>
    </row>
    <row r="62" spans="1:23" ht="15" customHeight="1" x14ac:dyDescent="0.2">
      <c r="A62" s="3115" t="s">
        <v>23</v>
      </c>
      <c r="B62" s="40" t="s">
        <v>55</v>
      </c>
      <c r="C62" s="39">
        <v>1</v>
      </c>
      <c r="D62" s="41" t="s">
        <v>415</v>
      </c>
      <c r="E62" s="41">
        <f>ברזיל!P4</f>
        <v>2</v>
      </c>
      <c r="F62" s="1531">
        <f>ברזיל!R10</f>
        <v>249052</v>
      </c>
      <c r="G62" s="1531">
        <f>ברזיל!S10</f>
        <v>0</v>
      </c>
      <c r="H62" s="1531"/>
      <c r="I62" s="1531">
        <f>F62</f>
        <v>249052</v>
      </c>
      <c r="J62" s="1531"/>
      <c r="K62" s="1531">
        <v>0</v>
      </c>
      <c r="L62" s="1532"/>
      <c r="M62" s="1533">
        <v>0</v>
      </c>
      <c r="N62" s="61" t="s">
        <v>50</v>
      </c>
      <c r="O62" s="25" t="s">
        <v>46</v>
      </c>
      <c r="Q62" s="10"/>
      <c r="S62" s="10"/>
      <c r="U62" s="10"/>
      <c r="W62" s="10"/>
    </row>
    <row r="63" spans="1:23" ht="15" customHeight="1" x14ac:dyDescent="0.2">
      <c r="A63" s="3116"/>
      <c r="B63" s="2875" t="s">
        <v>57</v>
      </c>
      <c r="C63" s="26">
        <v>2</v>
      </c>
      <c r="D63" s="23" t="s">
        <v>397</v>
      </c>
      <c r="E63" s="23">
        <f>ברזיל!P19</f>
        <v>11</v>
      </c>
      <c r="F63" s="1534">
        <f>ברזיל!R32</f>
        <v>266648</v>
      </c>
      <c r="G63" s="1534">
        <f>ברזיל!S32</f>
        <v>0</v>
      </c>
      <c r="H63" s="1534">
        <f>F63</f>
        <v>266648</v>
      </c>
      <c r="I63" s="1534"/>
      <c r="J63" s="1534"/>
      <c r="K63" s="1534"/>
      <c r="L63" s="1535"/>
      <c r="M63" s="1536"/>
      <c r="N63" s="61" t="s">
        <v>50</v>
      </c>
      <c r="O63" s="25" t="s">
        <v>46</v>
      </c>
      <c r="Q63" s="10"/>
      <c r="S63" s="10"/>
      <c r="U63" s="10"/>
      <c r="W63" s="10"/>
    </row>
    <row r="64" spans="1:23" ht="15" customHeight="1" x14ac:dyDescent="0.2">
      <c r="A64" s="3116"/>
      <c r="B64" s="2875"/>
      <c r="C64" s="26">
        <v>3</v>
      </c>
      <c r="D64" s="23" t="s">
        <v>62</v>
      </c>
      <c r="E64" s="23">
        <f>ברזיל!P37</f>
        <v>5</v>
      </c>
      <c r="F64" s="1534">
        <f>ברזיל!R41</f>
        <v>154200</v>
      </c>
      <c r="G64" s="1534">
        <f>ברזיל!S41</f>
        <v>0</v>
      </c>
      <c r="H64" s="1534">
        <f>F64</f>
        <v>154200</v>
      </c>
      <c r="I64" s="1534"/>
      <c r="J64" s="1534"/>
      <c r="K64" s="1534"/>
      <c r="L64" s="1535"/>
      <c r="M64" s="1536"/>
      <c r="N64" s="61"/>
      <c r="O64" s="25"/>
      <c r="Q64" s="10"/>
      <c r="S64" s="10"/>
      <c r="U64" s="10"/>
      <c r="W64" s="10"/>
    </row>
    <row r="65" spans="1:23" ht="15" customHeight="1" x14ac:dyDescent="0.2">
      <c r="A65" s="3116"/>
      <c r="B65" s="3118" t="s">
        <v>6</v>
      </c>
      <c r="C65" s="26">
        <v>4</v>
      </c>
      <c r="D65" s="23" t="s">
        <v>63</v>
      </c>
      <c r="E65" s="23">
        <f>ברזיל!P46</f>
        <v>0.6</v>
      </c>
      <c r="F65" s="1534">
        <f>ברזיל!R49</f>
        <v>132600</v>
      </c>
      <c r="G65" s="1534">
        <f>ברזיל!S49</f>
        <v>23400</v>
      </c>
      <c r="H65" s="1534">
        <f>F65</f>
        <v>132600</v>
      </c>
      <c r="I65" s="1534"/>
      <c r="J65" s="1534"/>
      <c r="K65" s="1534"/>
      <c r="L65" s="1535"/>
      <c r="M65" s="1536">
        <f>ברזיל!V49</f>
        <v>66600</v>
      </c>
      <c r="N65" s="61" t="s">
        <v>50</v>
      </c>
      <c r="O65" s="25"/>
      <c r="Q65" s="10"/>
      <c r="S65" s="10"/>
      <c r="U65" s="10"/>
      <c r="W65" s="10"/>
    </row>
    <row r="66" spans="1:23" ht="15" customHeight="1" x14ac:dyDescent="0.2">
      <c r="A66" s="3116"/>
      <c r="B66" s="3118"/>
      <c r="C66" s="26">
        <v>9</v>
      </c>
      <c r="D66" s="23" t="s">
        <v>64</v>
      </c>
      <c r="E66" s="23">
        <f>ברזיל!P91+ברזיל!P92</f>
        <v>2</v>
      </c>
      <c r="F66" s="1534">
        <f>ברזיל!R95</f>
        <v>188955</v>
      </c>
      <c r="G66" s="1534">
        <f>ברזיל!S95</f>
        <v>33345</v>
      </c>
      <c r="H66" s="1534"/>
      <c r="I66" s="1534">
        <f>F66</f>
        <v>188955</v>
      </c>
      <c r="J66" s="1534"/>
      <c r="K66" s="1534">
        <f>ברזיל!V95</f>
        <v>342000</v>
      </c>
      <c r="L66" s="1535"/>
      <c r="M66" s="1536"/>
      <c r="N66" s="61" t="s">
        <v>50</v>
      </c>
      <c r="O66" s="25" t="s">
        <v>47</v>
      </c>
      <c r="Q66" s="10"/>
      <c r="S66" s="10"/>
      <c r="U66" s="10"/>
      <c r="W66" s="10"/>
    </row>
    <row r="67" spans="1:23" ht="14.25" x14ac:dyDescent="0.2">
      <c r="A67" s="3116"/>
      <c r="B67" s="3118" t="s">
        <v>26</v>
      </c>
      <c r="C67" s="26">
        <v>5</v>
      </c>
      <c r="D67" s="23" t="s">
        <v>65</v>
      </c>
      <c r="E67" s="23">
        <f>ברזיל!P55</f>
        <v>1</v>
      </c>
      <c r="F67" s="1534">
        <f>ברזיל!R59</f>
        <v>208335</v>
      </c>
      <c r="G67" s="1534">
        <f>ברזיל!S59</f>
        <v>36765</v>
      </c>
      <c r="H67" s="1534"/>
      <c r="I67" s="1534">
        <f>F67</f>
        <v>208335</v>
      </c>
      <c r="J67" s="1534"/>
      <c r="K67" s="1534"/>
      <c r="L67" s="1535"/>
      <c r="M67" s="1536"/>
      <c r="N67" s="62"/>
      <c r="O67" s="57"/>
      <c r="Q67" s="10"/>
      <c r="S67" s="10"/>
      <c r="U67" s="10"/>
      <c r="W67" s="10"/>
    </row>
    <row r="68" spans="1:23" ht="14.25" x14ac:dyDescent="0.2">
      <c r="A68" s="3116"/>
      <c r="B68" s="3118"/>
      <c r="C68" s="26">
        <v>6</v>
      </c>
      <c r="D68" s="23" t="s">
        <v>444</v>
      </c>
      <c r="E68" s="23">
        <f>ברזיל!P64</f>
        <v>1</v>
      </c>
      <c r="F68" s="1534">
        <f>ברזיל!R70</f>
        <v>100000.16</v>
      </c>
      <c r="G68" s="1534">
        <f>ברזיל!S70</f>
        <v>0</v>
      </c>
      <c r="H68" s="1534"/>
      <c r="I68" s="1534">
        <f>F68</f>
        <v>100000.16</v>
      </c>
      <c r="J68" s="1534"/>
      <c r="K68" s="1534"/>
      <c r="L68" s="1535"/>
      <c r="M68" s="1536"/>
      <c r="N68" s="62"/>
      <c r="O68" s="57"/>
      <c r="Q68" s="10"/>
      <c r="S68" s="10"/>
      <c r="U68" s="10"/>
      <c r="W68" s="10"/>
    </row>
    <row r="69" spans="1:23" ht="14.25" x14ac:dyDescent="0.2">
      <c r="A69" s="3116"/>
      <c r="B69" s="2875" t="s">
        <v>29</v>
      </c>
      <c r="C69" s="26">
        <v>8</v>
      </c>
      <c r="D69" s="23" t="s">
        <v>5</v>
      </c>
      <c r="E69" s="23">
        <f>ברזיל!P77</f>
        <v>1</v>
      </c>
      <c r="F69" s="1534">
        <f>ברזיל!R85</f>
        <v>167428</v>
      </c>
      <c r="G69" s="1534">
        <f>ברזיל!S85</f>
        <v>0</v>
      </c>
      <c r="H69" s="1534"/>
      <c r="I69" s="1534">
        <f>F69</f>
        <v>167428</v>
      </c>
      <c r="J69" s="1534"/>
      <c r="K69" s="1534"/>
      <c r="L69" s="1535"/>
      <c r="M69" s="1536"/>
      <c r="N69" s="62"/>
      <c r="O69" s="57"/>
      <c r="Q69" s="10"/>
      <c r="S69" s="10"/>
      <c r="U69" s="10"/>
      <c r="W69" s="10"/>
    </row>
    <row r="70" spans="1:23" ht="14.25" x14ac:dyDescent="0.2">
      <c r="A70" s="3116"/>
      <c r="B70" s="2875"/>
      <c r="C70" s="26"/>
      <c r="D70" s="23" t="str">
        <f>ברזיל!O99</f>
        <v>שווק ופרסום חומרים עידוד עלייה</v>
      </c>
      <c r="E70" s="23"/>
      <c r="F70" s="1534">
        <f>ארגנטינה!R116</f>
        <v>98800</v>
      </c>
      <c r="G70" s="1534"/>
      <c r="H70" s="1534"/>
      <c r="I70" s="1534">
        <f>F70</f>
        <v>98800</v>
      </c>
      <c r="J70" s="1534"/>
      <c r="K70" s="1534"/>
      <c r="L70" s="1535"/>
      <c r="M70" s="1536"/>
      <c r="N70" s="62"/>
      <c r="O70" s="57"/>
      <c r="Q70" s="10"/>
      <c r="S70" s="10"/>
      <c r="U70" s="10"/>
      <c r="W70" s="10"/>
    </row>
    <row r="71" spans="1:23" ht="14.25" x14ac:dyDescent="0.2">
      <c r="A71" s="3116"/>
      <c r="B71" s="2875"/>
      <c r="C71" s="26"/>
      <c r="D71" s="23" t="s">
        <v>60</v>
      </c>
      <c r="E71" s="23"/>
      <c r="F71" s="1534"/>
      <c r="G71" s="1534"/>
      <c r="H71" s="1534"/>
      <c r="I71" s="1534"/>
      <c r="J71" s="1534"/>
      <c r="K71" s="1534"/>
      <c r="L71" s="1535"/>
      <c r="M71" s="1536">
        <f>ברזיל!V110</f>
        <v>20000</v>
      </c>
      <c r="N71" s="62"/>
      <c r="O71" s="57"/>
      <c r="Q71" s="10"/>
      <c r="S71" s="10"/>
      <c r="U71" s="10"/>
      <c r="W71" s="10"/>
    </row>
    <row r="72" spans="1:23" ht="15.75" thickBot="1" x14ac:dyDescent="0.3">
      <c r="A72" s="3117"/>
      <c r="B72" s="79"/>
      <c r="C72" s="2783"/>
      <c r="D72" s="146" t="s">
        <v>786</v>
      </c>
      <c r="E72" s="1657">
        <f>-F72+ברזיל!R115</f>
        <v>0</v>
      </c>
      <c r="F72" s="1537">
        <f t="shared" ref="F72:O72" si="5">SUM(F62:F71)</f>
        <v>1566018.16</v>
      </c>
      <c r="G72" s="1537">
        <f t="shared" si="5"/>
        <v>93510</v>
      </c>
      <c r="H72" s="1537">
        <f t="shared" si="5"/>
        <v>553448</v>
      </c>
      <c r="I72" s="1537">
        <f t="shared" si="5"/>
        <v>1012570.16</v>
      </c>
      <c r="J72" s="1537">
        <f t="shared" si="5"/>
        <v>0</v>
      </c>
      <c r="K72" s="1537">
        <f t="shared" si="5"/>
        <v>342000</v>
      </c>
      <c r="L72" s="1537">
        <f t="shared" si="5"/>
        <v>0</v>
      </c>
      <c r="M72" s="1537">
        <f t="shared" si="5"/>
        <v>86600</v>
      </c>
      <c r="N72" s="1537">
        <f t="shared" si="5"/>
        <v>0</v>
      </c>
      <c r="O72" s="1537">
        <f t="shared" si="5"/>
        <v>0</v>
      </c>
      <c r="P72" s="4">
        <f>-F72+ברזיל!R115</f>
        <v>0</v>
      </c>
      <c r="Q72" s="4">
        <f>-G72+ברזיל!S115</f>
        <v>0</v>
      </c>
      <c r="R72" s="10">
        <f>-M72-K72+ברזיל!V115</f>
        <v>0</v>
      </c>
      <c r="S72" s="10"/>
      <c r="U72" s="10"/>
      <c r="W72" s="10"/>
    </row>
    <row r="73" spans="1:23" ht="14.25" x14ac:dyDescent="0.2">
      <c r="A73" s="3119" t="s">
        <v>870</v>
      </c>
      <c r="B73" s="140" t="s">
        <v>57</v>
      </c>
      <c r="C73" s="125">
        <v>1</v>
      </c>
      <c r="D73" s="15" t="s">
        <v>397</v>
      </c>
      <c r="E73" s="15">
        <f>אנגליה!M8</f>
        <v>20</v>
      </c>
      <c r="F73" s="42">
        <f>אנגליה!O22</f>
        <v>822236.14999999991</v>
      </c>
      <c r="G73" s="42">
        <f>אנגליה!P22</f>
        <v>52286.1</v>
      </c>
      <c r="H73" s="42">
        <f>F73</f>
        <v>822236.14999999991</v>
      </c>
      <c r="I73" s="42"/>
      <c r="J73" s="42"/>
      <c r="K73" s="42"/>
      <c r="L73" s="42"/>
      <c r="M73" s="142">
        <f>אנגליה!S22</f>
        <v>230186.32</v>
      </c>
      <c r="N73" s="106" t="s">
        <v>50</v>
      </c>
      <c r="O73" s="42" t="s">
        <v>46</v>
      </c>
      <c r="Q73" s="10"/>
      <c r="S73" s="10"/>
      <c r="U73" s="10"/>
      <c r="W73" s="10"/>
    </row>
    <row r="74" spans="1:23" ht="14.25" x14ac:dyDescent="0.2">
      <c r="A74" s="3120"/>
      <c r="B74" s="2870"/>
      <c r="C74" s="13">
        <v>2</v>
      </c>
      <c r="D74" s="14" t="s">
        <v>61</v>
      </c>
      <c r="E74" s="14">
        <f>אנגליה!M27</f>
        <v>0</v>
      </c>
      <c r="F74" s="1527">
        <f>אנגליה!O31</f>
        <v>0</v>
      </c>
      <c r="G74" s="1527">
        <f>אנגליה!P31</f>
        <v>0</v>
      </c>
      <c r="H74" s="1527">
        <f>F74</f>
        <v>0</v>
      </c>
      <c r="I74" s="1527"/>
      <c r="J74" s="1527"/>
      <c r="K74" s="1527"/>
      <c r="L74" s="1527"/>
      <c r="M74" s="112"/>
      <c r="N74" s="107"/>
      <c r="O74" s="58"/>
      <c r="Q74" s="10"/>
      <c r="S74" s="10"/>
      <c r="U74" s="10"/>
      <c r="W74" s="10"/>
    </row>
    <row r="75" spans="1:23" ht="14.25" x14ac:dyDescent="0.2">
      <c r="A75" s="3120"/>
      <c r="B75" s="2870" t="s">
        <v>29</v>
      </c>
      <c r="C75" s="13">
        <v>3</v>
      </c>
      <c r="D75" s="14" t="s">
        <v>62</v>
      </c>
      <c r="E75" s="14">
        <f>אנגליה!M37</f>
        <v>8</v>
      </c>
      <c r="F75" s="1527">
        <f>אנגליה!O40</f>
        <v>207696</v>
      </c>
      <c r="G75" s="1527">
        <f>אנגליה!P40</f>
        <v>0</v>
      </c>
      <c r="H75" s="1527">
        <f>F75</f>
        <v>207696</v>
      </c>
      <c r="I75" s="1527"/>
      <c r="J75" s="1527"/>
      <c r="K75" s="1527"/>
      <c r="L75" s="1527"/>
      <c r="M75" s="112"/>
      <c r="N75" s="107"/>
      <c r="O75" s="58"/>
      <c r="Q75" s="10"/>
      <c r="S75" s="10"/>
      <c r="U75" s="10"/>
      <c r="W75" s="10"/>
    </row>
    <row r="76" spans="1:23" ht="14.25" x14ac:dyDescent="0.2">
      <c r="A76" s="3120"/>
      <c r="B76" s="2870"/>
      <c r="C76" s="13"/>
      <c r="D76" s="14" t="str">
        <f>אנגליה!L43</f>
        <v xml:space="preserve">עידוד עלייה בקהילות </v>
      </c>
      <c r="E76" s="14">
        <f>אנגליה!M45</f>
        <v>10</v>
      </c>
      <c r="F76" s="1527">
        <f>אנגליה!O50</f>
        <v>98000</v>
      </c>
      <c r="G76" s="1527">
        <f>אנגליה!P50</f>
        <v>0</v>
      </c>
      <c r="H76" s="1527">
        <f>F76</f>
        <v>98000</v>
      </c>
      <c r="I76" s="1527"/>
      <c r="J76" s="1527"/>
      <c r="K76" s="1527"/>
      <c r="L76" s="1527"/>
      <c r="M76" s="112"/>
      <c r="N76" s="107"/>
      <c r="O76" s="58"/>
      <c r="Q76" s="10"/>
      <c r="S76" s="10"/>
      <c r="U76" s="10"/>
      <c r="W76" s="10"/>
    </row>
    <row r="77" spans="1:23" ht="14.25" x14ac:dyDescent="0.2">
      <c r="A77" s="3120"/>
      <c r="B77" s="2870"/>
      <c r="C77" s="13"/>
      <c r="D77" s="14" t="str">
        <f>אנגליה!L53</f>
        <v xml:space="preserve">ירידי עידוד עלייה  </v>
      </c>
      <c r="E77" s="14">
        <f>אנגליה!M55</f>
        <v>1</v>
      </c>
      <c r="F77" s="1527">
        <f>אנגליה!O60</f>
        <v>151658</v>
      </c>
      <c r="G77" s="1527">
        <f>אנגליה!P60</f>
        <v>0</v>
      </c>
      <c r="H77" s="1527"/>
      <c r="I77" s="1527">
        <f>F77</f>
        <v>151658</v>
      </c>
      <c r="J77" s="1527"/>
      <c r="K77" s="1527"/>
      <c r="L77" s="1527"/>
      <c r="M77" s="112"/>
      <c r="N77" s="107"/>
      <c r="O77" s="58"/>
      <c r="Q77" s="10"/>
      <c r="S77" s="10"/>
      <c r="U77" s="10"/>
      <c r="W77" s="10"/>
    </row>
    <row r="78" spans="1:23" s="208" customFormat="1" ht="15.75" thickBot="1" x14ac:dyDescent="0.3">
      <c r="A78" s="3120"/>
      <c r="B78" s="2787"/>
      <c r="C78" s="13"/>
      <c r="D78" s="14" t="str">
        <f>אנגליה!L70</f>
        <v xml:space="preserve"> שליח נייד </v>
      </c>
      <c r="E78" s="14">
        <f>1</f>
        <v>1</v>
      </c>
      <c r="F78" s="1527">
        <f>אנגליה!O78</f>
        <v>393273</v>
      </c>
      <c r="G78" s="1527">
        <f>אנגליה!P78</f>
        <v>52623</v>
      </c>
      <c r="H78" s="1527"/>
      <c r="I78" s="1527">
        <f>F78</f>
        <v>393273</v>
      </c>
      <c r="J78" s="1527"/>
      <c r="K78" s="1527"/>
      <c r="L78" s="1527"/>
      <c r="M78" s="112"/>
      <c r="N78" s="2788"/>
      <c r="O78" s="2788"/>
      <c r="P78" s="363"/>
      <c r="Q78" s="10"/>
      <c r="S78" s="10"/>
      <c r="U78" s="10"/>
      <c r="W78" s="10"/>
    </row>
    <row r="79" spans="1:23" ht="14.25" x14ac:dyDescent="0.2">
      <c r="A79" s="3120"/>
      <c r="B79" s="2870"/>
      <c r="C79" s="13"/>
      <c r="D79" s="14" t="s">
        <v>60</v>
      </c>
      <c r="E79" s="14"/>
      <c r="F79" s="1527"/>
      <c r="G79" s="1527"/>
      <c r="H79" s="1527"/>
      <c r="I79" s="1527"/>
      <c r="J79" s="1527"/>
      <c r="K79" s="1527"/>
      <c r="L79" s="1527"/>
      <c r="M79" s="112">
        <v>150000</v>
      </c>
      <c r="N79" s="107"/>
      <c r="O79" s="58"/>
      <c r="Q79" s="10"/>
      <c r="S79" s="10"/>
      <c r="U79" s="10"/>
      <c r="W79" s="10"/>
    </row>
    <row r="80" spans="1:23" ht="15.75" thickBot="1" x14ac:dyDescent="0.3">
      <c r="A80" s="3121"/>
      <c r="B80" s="171"/>
      <c r="C80" s="2942"/>
      <c r="D80" s="98" t="s">
        <v>42</v>
      </c>
      <c r="E80" s="2943">
        <f>-F80+אנגליה!O86</f>
        <v>0</v>
      </c>
      <c r="F80" s="1538">
        <f>SUM(F73:F79)</f>
        <v>1672863.15</v>
      </c>
      <c r="G80" s="1538">
        <f>SUM(G73:G79)</f>
        <v>104909.1</v>
      </c>
      <c r="H80" s="1538">
        <f>SUM(H73:H79)</f>
        <v>1127932.1499999999</v>
      </c>
      <c r="I80" s="1538">
        <f>SUM(I73:I79)</f>
        <v>544931</v>
      </c>
      <c r="J80" s="1538"/>
      <c r="K80" s="1538">
        <f>SUM(K73:K79)</f>
        <v>0</v>
      </c>
      <c r="L80" s="1538"/>
      <c r="M80" s="1539">
        <f>SUM(M73:M79)</f>
        <v>380186.32</v>
      </c>
      <c r="N80" s="1562">
        <f>SUM(N73:N79)</f>
        <v>0</v>
      </c>
      <c r="O80" s="173">
        <f>SUM(O73:O79)</f>
        <v>0</v>
      </c>
      <c r="P80" s="4">
        <f>-F80+אנגליה!O86</f>
        <v>0</v>
      </c>
      <c r="Q80" s="4">
        <f>-G80+אנגליה!P86</f>
        <v>0</v>
      </c>
      <c r="R80" s="276">
        <f>-M80-K80+אנגליה!S86</f>
        <v>0</v>
      </c>
      <c r="S80" s="10"/>
      <c r="U80" s="10"/>
      <c r="W80" s="10"/>
    </row>
    <row r="81" spans="1:23" ht="15.75" thickBot="1" x14ac:dyDescent="0.3">
      <c r="A81" s="3122" t="s">
        <v>702</v>
      </c>
      <c r="B81" s="649"/>
      <c r="C81" s="2784"/>
      <c r="D81" s="650" t="str">
        <f>'סיכום 9.17  '!D81</f>
        <v xml:space="preserve">מרכזי הכנה לעליה - אולפנים </v>
      </c>
      <c r="E81" s="650">
        <f>'צ.אמריקה '!M4</f>
        <v>25</v>
      </c>
      <c r="F81" s="1540">
        <f>'צ.אמריקה '!O22</f>
        <v>578215.5</v>
      </c>
      <c r="G81" s="1540">
        <f>'צ.אמריקה '!P22</f>
        <v>0</v>
      </c>
      <c r="H81" s="1540">
        <f>F81</f>
        <v>578215.5</v>
      </c>
      <c r="I81" s="1540"/>
      <c r="J81" s="1541"/>
      <c r="K81" s="1541"/>
      <c r="L81" s="1541"/>
      <c r="M81" s="2841"/>
      <c r="N81" s="59"/>
      <c r="O81" s="59"/>
      <c r="Q81" s="10"/>
      <c r="S81" s="10"/>
      <c r="U81" s="10"/>
      <c r="W81" s="10"/>
    </row>
    <row r="82" spans="1:23" ht="15.75" thickBot="1" x14ac:dyDescent="0.3">
      <c r="A82" s="3123"/>
      <c r="B82" s="447"/>
      <c r="C82" s="1691"/>
      <c r="D82" s="647" t="str">
        <f>'סיכום 9.17  '!D82</f>
        <v xml:space="preserve"> (קבוצות)סמינר לעידוד עליה </v>
      </c>
      <c r="E82" s="647">
        <f>'צ.אמריקה '!M38</f>
        <v>18</v>
      </c>
      <c r="F82" s="1542">
        <f>'צ.אמריקה '!O41</f>
        <v>147060</v>
      </c>
      <c r="G82" s="1542">
        <f>'צ.אמריקה '!P41</f>
        <v>0</v>
      </c>
      <c r="H82" s="1542">
        <f t="shared" ref="H82:H87" si="6">F82</f>
        <v>147060</v>
      </c>
      <c r="I82" s="1542"/>
      <c r="J82" s="1543"/>
      <c r="K82" s="1543"/>
      <c r="L82" s="1543"/>
      <c r="M82" s="2842"/>
      <c r="N82" s="59"/>
      <c r="O82" s="59"/>
      <c r="Q82" s="10"/>
      <c r="S82" s="10"/>
      <c r="U82" s="10"/>
      <c r="W82" s="10"/>
    </row>
    <row r="83" spans="1:23" ht="15.75" thickBot="1" x14ac:dyDescent="0.3">
      <c r="A83" s="3123"/>
      <c r="B83" s="447"/>
      <c r="C83" s="1691"/>
      <c r="D83" s="647" t="str">
        <f>'סיכום 9.17  '!D83</f>
        <v>רכז  עידוד עלייה ומרכזי הכנה לעלייה</v>
      </c>
      <c r="E83" s="1655">
        <f>'צ.אמריקה '!M46</f>
        <v>1.5</v>
      </c>
      <c r="F83" s="1542">
        <f>'צ.אמריקה '!O49</f>
        <v>256785</v>
      </c>
      <c r="G83" s="1542">
        <f>'צ.אמריקה '!P49</f>
        <v>45315</v>
      </c>
      <c r="H83" s="1542">
        <f t="shared" si="6"/>
        <v>256785</v>
      </c>
      <c r="I83" s="1542"/>
      <c r="J83" s="1543"/>
      <c r="K83" s="1543"/>
      <c r="L83" s="1543"/>
      <c r="M83" s="2842">
        <f>'צ.אמריקה '!S49</f>
        <v>610000</v>
      </c>
      <c r="N83" s="59"/>
      <c r="O83" s="59"/>
      <c r="Q83" s="10"/>
      <c r="S83" s="10"/>
      <c r="U83" s="10"/>
      <c r="W83" s="10"/>
    </row>
    <row r="84" spans="1:23" ht="15.75" thickBot="1" x14ac:dyDescent="0.3">
      <c r="A84" s="3123"/>
      <c r="B84" s="447"/>
      <c r="C84" s="1691"/>
      <c r="D84" s="647" t="str">
        <f>'סיכום 9.17  '!D84</f>
        <v>עידוד והכנה במסגרת הקהל המסורתי</v>
      </c>
      <c r="E84" s="647"/>
      <c r="F84" s="1542">
        <f>'צ.אמריקה '!O77</f>
        <v>64980</v>
      </c>
      <c r="G84" s="1542">
        <f>'צ.אמריקה '!P77</f>
        <v>0</v>
      </c>
      <c r="H84" s="1542">
        <f t="shared" si="6"/>
        <v>64980</v>
      </c>
      <c r="I84" s="1542"/>
      <c r="J84" s="1543"/>
      <c r="K84" s="1543"/>
      <c r="L84" s="1543"/>
      <c r="M84" s="2842"/>
      <c r="N84" s="59"/>
      <c r="O84" s="59"/>
      <c r="Q84" s="10"/>
      <c r="S84" s="10"/>
      <c r="U84" s="10"/>
      <c r="W84" s="10"/>
    </row>
    <row r="85" spans="1:23" ht="15.75" thickBot="1" x14ac:dyDescent="0.3">
      <c r="A85" s="3123"/>
      <c r="B85" s="447"/>
      <c r="C85" s="1691"/>
      <c r="D85" s="647" t="str">
        <f>'סיכום 9.17  '!D85</f>
        <v>עידוד והכנה במסגרת קהל הצעירים-רווקים</v>
      </c>
      <c r="E85" s="647"/>
      <c r="F85" s="1542">
        <f>'צ.אמריקה '!O85</f>
        <v>83022.399999999994</v>
      </c>
      <c r="G85" s="1542">
        <f>'צ.אמריקה '!P85</f>
        <v>0</v>
      </c>
      <c r="H85" s="1542">
        <f t="shared" si="6"/>
        <v>83022.399999999994</v>
      </c>
      <c r="I85" s="1542"/>
      <c r="J85" s="1543"/>
      <c r="K85" s="1543"/>
      <c r="L85" s="1543"/>
      <c r="M85" s="2842"/>
      <c r="N85" s="59"/>
      <c r="O85" s="59"/>
      <c r="Q85" s="10"/>
      <c r="S85" s="10"/>
      <c r="U85" s="10"/>
      <c r="W85" s="10"/>
    </row>
    <row r="86" spans="1:23" ht="15.75" thickBot="1" x14ac:dyDescent="0.3">
      <c r="A86" s="3123"/>
      <c r="B86" s="447"/>
      <c r="C86" s="1691"/>
      <c r="D86" s="647" t="str">
        <f>'סיכום 9.17  '!D86</f>
        <v>עידוד והכנה לעלייה תוך יצירת קישור עמוק בין המשפחות בארץ-ובארה"ב</v>
      </c>
      <c r="E86" s="647"/>
      <c r="F86" s="1542">
        <f>'צ.אמריקה '!O92</f>
        <v>85500</v>
      </c>
      <c r="G86" s="1542">
        <f>'צ.אמריקה '!P92</f>
        <v>0</v>
      </c>
      <c r="H86" s="1542">
        <f t="shared" si="6"/>
        <v>85500</v>
      </c>
      <c r="I86" s="1542"/>
      <c r="J86" s="1543"/>
      <c r="K86" s="1543"/>
      <c r="L86" s="1543"/>
      <c r="M86" s="2842"/>
      <c r="N86" s="59"/>
      <c r="O86" s="59"/>
      <c r="Q86" s="10"/>
      <c r="S86" s="10"/>
      <c r="U86" s="10"/>
      <c r="W86" s="10"/>
    </row>
    <row r="87" spans="1:23" ht="15.75" thickBot="1" x14ac:dyDescent="0.3">
      <c r="A87" s="3123"/>
      <c r="B87" s="447"/>
      <c r="C87" s="1691"/>
      <c r="D87" s="647" t="str">
        <f>'סיכום 9.17  '!D87</f>
        <v xml:space="preserve">ירידי עלייה </v>
      </c>
      <c r="E87" s="647">
        <f>'צ.אמריקה '!M97</f>
        <v>3</v>
      </c>
      <c r="F87" s="1542">
        <f>'צ.אמריקה '!O103</f>
        <v>625424.49</v>
      </c>
      <c r="G87" s="1542">
        <f>'צ.אמריקה '!P103</f>
        <v>0</v>
      </c>
      <c r="H87" s="1542">
        <f t="shared" si="6"/>
        <v>625424.49</v>
      </c>
      <c r="I87" s="1542"/>
      <c r="J87" s="1543"/>
      <c r="K87" s="1543"/>
      <c r="L87" s="1543"/>
      <c r="M87" s="2842"/>
      <c r="N87" s="59"/>
      <c r="O87" s="59"/>
      <c r="Q87" s="10"/>
      <c r="S87" s="10"/>
      <c r="U87" s="10"/>
      <c r="W87" s="10"/>
    </row>
    <row r="88" spans="1:23" ht="15.75" thickBot="1" x14ac:dyDescent="0.3">
      <c r="A88" s="3123"/>
      <c r="B88" s="447"/>
      <c r="C88" s="1691"/>
      <c r="D88" s="648" t="s">
        <v>60</v>
      </c>
      <c r="E88" s="647"/>
      <c r="F88" s="1542"/>
      <c r="G88" s="1542"/>
      <c r="H88" s="1542"/>
      <c r="I88" s="1542"/>
      <c r="J88" s="1543"/>
      <c r="K88" s="1543"/>
      <c r="L88" s="1543"/>
      <c r="M88" s="2842">
        <f>'צ.אמריקה '!S108</f>
        <v>240000</v>
      </c>
      <c r="N88" s="59"/>
      <c r="O88" s="59"/>
      <c r="Q88" s="10"/>
      <c r="S88" s="10"/>
      <c r="U88" s="10"/>
      <c r="W88" s="10"/>
    </row>
    <row r="89" spans="1:23" ht="15.75" thickBot="1" x14ac:dyDescent="0.3">
      <c r="A89" s="3124"/>
      <c r="B89" s="640"/>
      <c r="C89" s="1692"/>
      <c r="D89" s="94" t="s">
        <v>703</v>
      </c>
      <c r="E89" s="1568">
        <f t="shared" ref="E89:M89" si="7">SUM(E81:E88)</f>
        <v>47.5</v>
      </c>
      <c r="F89" s="95">
        <f t="shared" si="7"/>
        <v>1840987.39</v>
      </c>
      <c r="G89" s="95">
        <f t="shared" si="7"/>
        <v>45315</v>
      </c>
      <c r="H89" s="95">
        <f t="shared" si="7"/>
        <v>1840987.39</v>
      </c>
      <c r="I89" s="95">
        <f t="shared" si="7"/>
        <v>0</v>
      </c>
      <c r="J89" s="95">
        <f t="shared" si="7"/>
        <v>0</v>
      </c>
      <c r="K89" s="95">
        <f t="shared" si="7"/>
        <v>0</v>
      </c>
      <c r="L89" s="95">
        <f t="shared" si="7"/>
        <v>0</v>
      </c>
      <c r="M89" s="1551">
        <f t="shared" si="7"/>
        <v>850000</v>
      </c>
      <c r="N89" s="59"/>
      <c r="O89" s="59"/>
      <c r="P89" s="4">
        <f>-F89+'צ.אמריקה '!O110</f>
        <v>0</v>
      </c>
      <c r="Q89" s="10"/>
      <c r="R89" s="10">
        <f>-M89+'צ.אמריקה '!S110</f>
        <v>0</v>
      </c>
      <c r="S89" s="10"/>
      <c r="U89" s="10"/>
      <c r="W89" s="10"/>
    </row>
    <row r="90" spans="1:23" ht="15.75" hidden="1" thickBot="1" x14ac:dyDescent="0.3">
      <c r="A90" s="3125" t="s">
        <v>816</v>
      </c>
      <c r="B90" s="2769"/>
      <c r="C90" s="2770"/>
      <c r="D90" s="2776" t="e">
        <f>אנגליה!#REF!</f>
        <v>#REF!</v>
      </c>
      <c r="E90" s="2776" t="e">
        <f>אנגליה!#REF!</f>
        <v>#REF!</v>
      </c>
      <c r="F90" s="2777" t="e">
        <f>אנגליה!#REF!</f>
        <v>#REF!</v>
      </c>
      <c r="G90" s="2777"/>
      <c r="H90" s="2777"/>
      <c r="I90" s="2777" t="e">
        <f>F90</f>
        <v>#REF!</v>
      </c>
      <c r="J90" s="2777"/>
      <c r="K90" s="2777"/>
      <c r="L90" s="2777"/>
      <c r="M90" s="2778"/>
      <c r="N90" s="59"/>
      <c r="O90" s="59"/>
      <c r="Q90" s="10"/>
      <c r="S90" s="10"/>
      <c r="U90" s="10"/>
      <c r="W90" s="10"/>
    </row>
    <row r="91" spans="1:23" ht="15.75" hidden="1" thickBot="1" x14ac:dyDescent="0.3">
      <c r="A91" s="3125"/>
      <c r="B91" s="2769"/>
      <c r="C91" s="2770"/>
      <c r="D91" s="2776" t="str">
        <f>אנגליה!L70</f>
        <v xml:space="preserve"> שליח נייד </v>
      </c>
      <c r="E91" s="2776">
        <f>1</f>
        <v>1</v>
      </c>
      <c r="F91" s="2777">
        <f>אנגליה!O78</f>
        <v>393273</v>
      </c>
      <c r="G91" s="2777"/>
      <c r="H91" s="2777"/>
      <c r="I91" s="2777">
        <f>F91</f>
        <v>393273</v>
      </c>
      <c r="J91" s="2777"/>
      <c r="K91" s="2777"/>
      <c r="L91" s="2777"/>
      <c r="M91" s="2778"/>
      <c r="N91" s="59"/>
      <c r="O91" s="59"/>
      <c r="Q91" s="10"/>
      <c r="S91" s="10"/>
      <c r="U91" s="10"/>
      <c r="W91" s="10"/>
    </row>
    <row r="92" spans="1:23" ht="15.75" hidden="1" thickBot="1" x14ac:dyDescent="0.3">
      <c r="A92" s="3126"/>
      <c r="B92" s="2769"/>
      <c r="C92" s="2770"/>
      <c r="D92" s="2771" t="s">
        <v>817</v>
      </c>
      <c r="E92" s="2772"/>
      <c r="F92" s="2773" t="e">
        <f>SUM(F90:F91)</f>
        <v>#REF!</v>
      </c>
      <c r="G92" s="2773"/>
      <c r="H92" s="2773"/>
      <c r="I92" s="2773" t="e">
        <f>SUM(I90:I91)</f>
        <v>#REF!</v>
      </c>
      <c r="J92" s="2773"/>
      <c r="K92" s="2773"/>
      <c r="L92" s="2773"/>
      <c r="M92" s="2774"/>
      <c r="N92" s="59"/>
      <c r="O92" s="59"/>
      <c r="Q92" s="10"/>
      <c r="S92" s="10"/>
      <c r="U92" s="10"/>
      <c r="W92" s="10"/>
    </row>
    <row r="93" spans="1:23" ht="15.75" thickBot="1" x14ac:dyDescent="0.3">
      <c r="A93" s="3113" t="s">
        <v>677</v>
      </c>
      <c r="B93" s="636"/>
      <c r="C93" s="125"/>
      <c r="D93" s="639" t="str">
        <f>'הונגריה ומזרח אירופה'!L3</f>
        <v xml:space="preserve">ירידי עידוד עלייה  </v>
      </c>
      <c r="E93" s="639">
        <f>'הונגריה ומזרח אירופה'!M5</f>
        <v>2</v>
      </c>
      <c r="F93" s="1548">
        <f>'הונגריה ומזרח אירופה'!O12</f>
        <v>139992</v>
      </c>
      <c r="G93" s="1548">
        <f>'הונגריה ומזרח אירופה'!P12</f>
        <v>0</v>
      </c>
      <c r="H93" s="1548"/>
      <c r="I93" s="1548">
        <f>F93</f>
        <v>139992</v>
      </c>
      <c r="J93" s="1549"/>
      <c r="K93" s="1549"/>
      <c r="L93" s="1549"/>
      <c r="M93" s="1550"/>
      <c r="N93" s="59"/>
      <c r="O93" s="59"/>
      <c r="Q93" s="10"/>
      <c r="S93" s="10"/>
      <c r="U93" s="10"/>
      <c r="W93" s="10"/>
    </row>
    <row r="94" spans="1:23" ht="15.75" thickBot="1" x14ac:dyDescent="0.3">
      <c r="A94" s="3114"/>
      <c r="B94" s="637"/>
      <c r="C94" s="2785"/>
      <c r="D94" s="635" t="s">
        <v>678</v>
      </c>
      <c r="E94" s="1637">
        <f>-F94+'הונגריה ומזרח אירופה'!O17</f>
        <v>0</v>
      </c>
      <c r="F94" s="37">
        <f t="shared" ref="F94:K94" si="8">SUM(F93:F93)</f>
        <v>139992</v>
      </c>
      <c r="G94" s="37">
        <f t="shared" si="8"/>
        <v>0</v>
      </c>
      <c r="H94" s="37">
        <f t="shared" si="8"/>
        <v>0</v>
      </c>
      <c r="I94" s="37">
        <f t="shared" si="8"/>
        <v>139992</v>
      </c>
      <c r="J94" s="37">
        <f t="shared" si="8"/>
        <v>0</v>
      </c>
      <c r="K94" s="37">
        <f t="shared" si="8"/>
        <v>0</v>
      </c>
      <c r="L94" s="37"/>
      <c r="M94" s="20">
        <f>SUM(M93:M93)</f>
        <v>0</v>
      </c>
      <c r="N94" s="638">
        <f>SUM(N93:N93)</f>
        <v>0</v>
      </c>
      <c r="O94" s="172">
        <f>SUM(O93:O93)</f>
        <v>0</v>
      </c>
      <c r="Q94" s="10"/>
      <c r="S94" s="10"/>
      <c r="U94" s="10"/>
      <c r="W94" s="10"/>
    </row>
    <row r="95" spans="1:23" ht="15.75" thickBot="1" x14ac:dyDescent="0.3">
      <c r="A95" s="1647" t="s">
        <v>785</v>
      </c>
      <c r="B95" s="1648"/>
      <c r="C95" s="1693"/>
      <c r="D95" s="1649"/>
      <c r="E95" s="1650"/>
      <c r="F95" s="1651"/>
      <c r="G95" s="1651"/>
      <c r="H95" s="1651"/>
      <c r="I95" s="1651"/>
      <c r="J95" s="1651"/>
      <c r="K95" s="1651"/>
      <c r="L95" s="1652"/>
      <c r="M95" s="1653"/>
      <c r="N95" s="1588"/>
      <c r="O95" s="1588"/>
      <c r="Q95" s="10"/>
      <c r="S95" s="10"/>
      <c r="U95" s="10"/>
      <c r="W95" s="10"/>
    </row>
    <row r="96" spans="1:23" ht="15.75" thickBot="1" x14ac:dyDescent="0.3">
      <c r="A96" s="1668" t="s">
        <v>8</v>
      </c>
      <c r="B96" s="1669"/>
      <c r="C96" s="1694"/>
      <c r="D96" s="1670"/>
      <c r="E96" s="1671"/>
      <c r="F96" s="1672">
        <f>גלובל!O18</f>
        <v>600318.44999999995</v>
      </c>
      <c r="G96" s="1672">
        <f>גלובל!P18</f>
        <v>105938.54999999999</v>
      </c>
      <c r="H96" s="1672"/>
      <c r="I96" s="1672">
        <f>F96</f>
        <v>600318.44999999995</v>
      </c>
      <c r="J96" s="1672"/>
      <c r="K96" s="1674">
        <f>גלובל!S18</f>
        <v>1665288</v>
      </c>
      <c r="L96" s="1673"/>
      <c r="M96" s="1674"/>
      <c r="N96" s="1588"/>
      <c r="O96" s="1588"/>
      <c r="P96" s="4">
        <f>-F96+גלובל!O18</f>
        <v>0</v>
      </c>
      <c r="Q96" s="4">
        <f>-G96+גלובל!P18</f>
        <v>0</v>
      </c>
      <c r="R96" s="10">
        <f>-K96+גלובל!S18</f>
        <v>0</v>
      </c>
      <c r="S96" s="10"/>
      <c r="U96" s="10"/>
      <c r="W96" s="10"/>
    </row>
    <row r="97" spans="1:23" ht="30.75" customHeight="1" thickBot="1" x14ac:dyDescent="0.3">
      <c r="A97" s="175" t="s">
        <v>71</v>
      </c>
      <c r="B97" s="176"/>
      <c r="C97" s="1695"/>
      <c r="D97" s="176"/>
      <c r="E97" s="177"/>
      <c r="F97" s="1552">
        <f>'הכשרת מורים'!P13</f>
        <v>1486200</v>
      </c>
      <c r="G97" s="1552"/>
      <c r="H97" s="1552">
        <f>F97</f>
        <v>1486200</v>
      </c>
      <c r="I97" s="1552"/>
      <c r="J97" s="1552"/>
      <c r="K97" s="1552"/>
      <c r="L97" s="1553"/>
      <c r="M97" s="178"/>
      <c r="N97" s="59"/>
      <c r="O97" s="59"/>
      <c r="P97" s="4">
        <f>-F97+'הכשרת מורים'!P13</f>
        <v>0</v>
      </c>
      <c r="Q97" s="10"/>
      <c r="S97" s="10"/>
      <c r="U97" s="10"/>
      <c r="W97" s="10"/>
    </row>
    <row r="98" spans="1:23" ht="15.75" thickBot="1" x14ac:dyDescent="0.3">
      <c r="A98" s="174" t="s">
        <v>20</v>
      </c>
      <c r="B98" s="154"/>
      <c r="C98" s="1696"/>
      <c r="D98" s="154"/>
      <c r="E98" s="155"/>
      <c r="F98" s="1546">
        <v>1500000</v>
      </c>
      <c r="G98" s="1546"/>
      <c r="H98" s="1546"/>
      <c r="I98" s="1546"/>
      <c r="J98" s="1546"/>
      <c r="K98" s="1546"/>
      <c r="L98" s="1547"/>
      <c r="M98" s="157"/>
      <c r="N98" s="59"/>
      <c r="O98" s="59"/>
      <c r="Q98" s="10"/>
      <c r="S98" s="10"/>
      <c r="U98" s="10"/>
      <c r="W98" s="10"/>
    </row>
    <row r="99" spans="1:23" ht="15.75" thickBot="1" x14ac:dyDescent="0.3">
      <c r="A99" s="143"/>
      <c r="B99" s="85"/>
      <c r="C99" s="1697"/>
      <c r="D99" s="85"/>
      <c r="E99" s="85"/>
      <c r="F99" s="1554">
        <f t="shared" ref="F99:L99" si="9">SUM(F24,F47,F61,F72,F80,F89,,F94:F98)</f>
        <v>41896806.090948522</v>
      </c>
      <c r="G99" s="1554">
        <f t="shared" si="9"/>
        <v>1885625.2862714289</v>
      </c>
      <c r="H99" s="1554">
        <f t="shared" si="9"/>
        <v>13051777.49</v>
      </c>
      <c r="I99" s="1554">
        <f t="shared" si="9"/>
        <v>27345028.600948524</v>
      </c>
      <c r="J99" s="1554">
        <f t="shared" si="9"/>
        <v>257</v>
      </c>
      <c r="K99" s="1554">
        <f t="shared" si="9"/>
        <v>19446143.01809524</v>
      </c>
      <c r="L99" s="1554">
        <f t="shared" si="9"/>
        <v>0</v>
      </c>
      <c r="M99" s="1554">
        <f>SUM(M24,M47,M61,M72,M80,M89,M94:M98)</f>
        <v>3511126.32</v>
      </c>
      <c r="N99" s="1554">
        <f>N24+N47+N61+N72++N80+N89+N94+N95+N96+N97+N98</f>
        <v>0</v>
      </c>
      <c r="O99" s="1554">
        <f>O24+O47+O61+O72++O80+O89+O94+O95+O96+O97+O98</f>
        <v>0</v>
      </c>
      <c r="Q99" s="10"/>
      <c r="S99" s="10"/>
      <c r="U99" s="10"/>
      <c r="W99" s="10"/>
    </row>
    <row r="100" spans="1:23" s="9" customFormat="1" x14ac:dyDescent="0.25">
      <c r="C100" s="2849"/>
      <c r="F100" s="2850"/>
      <c r="G100" s="2850"/>
      <c r="H100" s="2850"/>
      <c r="I100" s="2850"/>
      <c r="J100" s="2850"/>
      <c r="K100" s="2850"/>
      <c r="L100" s="2850"/>
      <c r="M100" s="2850"/>
      <c r="P100" s="2850"/>
      <c r="Q100" s="10"/>
    </row>
    <row r="101" spans="1:23" s="9" customFormat="1" x14ac:dyDescent="0.25">
      <c r="C101" s="2849"/>
      <c r="D101" s="2880" t="s">
        <v>78</v>
      </c>
      <c r="E101" s="2880"/>
      <c r="F101" s="2881">
        <f>F99+G99+K99+M99</f>
        <v>66739700.715315193</v>
      </c>
      <c r="G101" s="2850"/>
      <c r="H101" s="2850"/>
      <c r="I101" s="2850"/>
      <c r="J101" s="2850"/>
      <c r="K101" s="2850"/>
      <c r="L101" s="2850"/>
      <c r="M101" s="2850"/>
      <c r="P101" s="2850"/>
      <c r="Q101" s="10"/>
    </row>
    <row r="102" spans="1:23" s="9" customFormat="1" x14ac:dyDescent="0.25">
      <c r="C102" s="2849"/>
      <c r="D102" s="2880" t="s">
        <v>80</v>
      </c>
      <c r="E102" s="2880"/>
      <c r="F102" s="2881">
        <f>F99</f>
        <v>41896806.090948522</v>
      </c>
      <c r="G102" s="2850"/>
      <c r="H102" s="2850"/>
      <c r="I102" s="2850"/>
      <c r="J102" s="2850"/>
      <c r="K102" s="2850"/>
      <c r="L102" s="2850"/>
      <c r="M102" s="2850"/>
      <c r="P102" s="2850"/>
      <c r="Q102" s="10"/>
    </row>
    <row r="103" spans="1:23" s="9" customFormat="1" x14ac:dyDescent="0.25">
      <c r="C103" s="2849"/>
      <c r="D103" s="2880" t="s">
        <v>59</v>
      </c>
      <c r="E103" s="2880"/>
      <c r="F103" s="2881">
        <f>G99</f>
        <v>1885625.2862714289</v>
      </c>
      <c r="G103" s="2850"/>
      <c r="H103" s="2850"/>
      <c r="I103" s="2850"/>
      <c r="J103" s="2850"/>
      <c r="K103" s="2850"/>
      <c r="L103" s="2850"/>
      <c r="M103" s="2850"/>
      <c r="P103" s="2850"/>
      <c r="Q103" s="10"/>
    </row>
    <row r="104" spans="1:23" s="9" customFormat="1" x14ac:dyDescent="0.25">
      <c r="C104" s="2849"/>
      <c r="D104" s="2880" t="s">
        <v>884</v>
      </c>
      <c r="E104" s="2880"/>
      <c r="F104" s="2881">
        <f>K99+M99</f>
        <v>22957269.33809524</v>
      </c>
      <c r="G104" s="2850"/>
      <c r="H104" s="2850"/>
      <c r="I104" s="2850"/>
      <c r="J104" s="2850"/>
      <c r="K104" s="2850"/>
      <c r="L104" s="2850"/>
      <c r="M104" s="2850"/>
      <c r="P104" s="2850"/>
      <c r="Q104" s="10"/>
    </row>
    <row r="105" spans="1:23" s="9" customFormat="1" x14ac:dyDescent="0.25">
      <c r="C105" s="2849"/>
      <c r="F105" s="2850"/>
      <c r="G105" s="2850"/>
      <c r="H105" s="2850"/>
      <c r="I105" s="2850"/>
      <c r="J105" s="2850"/>
      <c r="K105" s="2850"/>
      <c r="L105" s="2850"/>
      <c r="M105" s="2850"/>
      <c r="P105" s="2850"/>
      <c r="Q105" s="10"/>
    </row>
    <row r="106" spans="1:23" s="9" customFormat="1" x14ac:dyDescent="0.25">
      <c r="C106" s="2849"/>
      <c r="F106" s="2850"/>
      <c r="G106" s="2850"/>
      <c r="H106" s="2850"/>
      <c r="I106" s="2850"/>
      <c r="J106" s="2850"/>
      <c r="K106" s="2850"/>
      <c r="L106" s="2850"/>
      <c r="M106" s="2850"/>
      <c r="P106" s="2850"/>
      <c r="Q106" s="10"/>
    </row>
    <row r="107" spans="1:23" ht="15.75" x14ac:dyDescent="0.25">
      <c r="A107"/>
      <c r="B107"/>
      <c r="C107" s="246"/>
      <c r="F107" s="2940">
        <v>41947521</v>
      </c>
      <c r="Q107" s="10"/>
    </row>
    <row r="108" spans="1:23" ht="15.75" thickBot="1" x14ac:dyDescent="0.3">
      <c r="A108" s="59"/>
      <c r="B108"/>
      <c r="C108" s="246"/>
      <c r="F108" s="1555">
        <f>F107-F99</f>
        <v>50714.909051477909</v>
      </c>
      <c r="Q108" s="10"/>
    </row>
    <row r="109" spans="1:23" ht="14.25" x14ac:dyDescent="0.2">
      <c r="A109"/>
      <c r="B109"/>
      <c r="C109" s="246"/>
      <c r="D109" s="10">
        <f>-H108</f>
        <v>0</v>
      </c>
    </row>
    <row r="110" spans="1:23" ht="14.25" x14ac:dyDescent="0.2">
      <c r="A110"/>
      <c r="B110"/>
      <c r="C110" s="246"/>
    </row>
  </sheetData>
  <mergeCells count="22">
    <mergeCell ref="A48:A61"/>
    <mergeCell ref="B50:B51"/>
    <mergeCell ref="B53:B54"/>
    <mergeCell ref="A2:A24"/>
    <mergeCell ref="B2:B4"/>
    <mergeCell ref="B5:B7"/>
    <mergeCell ref="B8:B9"/>
    <mergeCell ref="B10:B12"/>
    <mergeCell ref="B13:B14"/>
    <mergeCell ref="B15:B18"/>
    <mergeCell ref="A25:A47"/>
    <mergeCell ref="B25:B27"/>
    <mergeCell ref="B29:B30"/>
    <mergeCell ref="B31:B33"/>
    <mergeCell ref="B35:B39"/>
    <mergeCell ref="A93:A94"/>
    <mergeCell ref="A62:A72"/>
    <mergeCell ref="B65:B66"/>
    <mergeCell ref="B67:B68"/>
    <mergeCell ref="A73:A80"/>
    <mergeCell ref="A81:A89"/>
    <mergeCell ref="A90:A92"/>
  </mergeCells>
  <pageMargins left="0.70866141732283472" right="0.70866141732283472" top="0.74803149606299213" bottom="0.74803149606299213" header="0.31496062992125984" footer="0.31496062992125984"/>
  <pageSetup paperSize="9" scale="81" fitToHeight="0" orientation="landscape" r:id="rId1"/>
  <headerFooter>
    <oddHeader>&amp;L&amp;D&amp;C&amp;F</oddHeader>
    <oddFooter>&amp;L&amp;P&amp;C&amp;A</oddFooter>
  </headerFooter>
  <rowBreaks count="3" manualBreakCount="3">
    <brk id="24" max="13" man="1"/>
    <brk id="47" max="13" man="1"/>
    <brk id="72"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10"/>
  <sheetViews>
    <sheetView rightToLeft="1" zoomScaleNormal="100" zoomScaleSheetLayoutView="100" workbookViewId="0">
      <pane xSplit="1" ySplit="1" topLeftCell="B83" activePane="bottomRight" state="frozen"/>
      <selection activeCell="D101" sqref="D101"/>
      <selection pane="topRight" activeCell="D101" sqref="D101"/>
      <selection pane="bottomLeft" activeCell="D101" sqref="D101"/>
      <selection pane="bottomRight" activeCell="D120" sqref="D120"/>
    </sheetView>
  </sheetViews>
  <sheetFormatPr defaultRowHeight="15" x14ac:dyDescent="0.2"/>
  <cols>
    <col min="1" max="1" width="11.875" style="18" customWidth="1"/>
    <col min="2" max="2" width="20.75" style="60" hidden="1" customWidth="1"/>
    <col min="3" max="3" width="5" style="324" customWidth="1"/>
    <col min="4" max="4" width="46.25" bestFit="1" customWidth="1"/>
    <col min="5" max="5" width="5" customWidth="1"/>
    <col min="6" max="6" width="13.875" style="4" customWidth="1"/>
    <col min="7" max="7" width="10.625" style="4" customWidth="1"/>
    <col min="8" max="8" width="11.5" style="4" customWidth="1"/>
    <col min="9" max="9" width="11.875" style="4" customWidth="1"/>
    <col min="10" max="10" width="4.75" style="4" customWidth="1"/>
    <col min="11" max="11" width="10.875" style="4" customWidth="1"/>
    <col min="12" max="12" width="4.75" style="4" customWidth="1"/>
    <col min="13" max="13" width="12.375" style="4" bestFit="1" customWidth="1"/>
    <col min="14" max="15" width="11.625" hidden="1" customWidth="1"/>
    <col min="16" max="16" width="13.5" style="4" bestFit="1" customWidth="1"/>
    <col min="18" max="18" width="10.5" bestFit="1" customWidth="1"/>
    <col min="19" max="19" width="10.5" customWidth="1"/>
  </cols>
  <sheetData>
    <row r="1" spans="1:23" ht="42.75" thickBot="1" x14ac:dyDescent="0.25">
      <c r="A1" s="21" t="s">
        <v>17</v>
      </c>
      <c r="B1" s="1636" t="s">
        <v>52</v>
      </c>
      <c r="C1" s="2760"/>
      <c r="D1" s="1636" t="s">
        <v>3</v>
      </c>
      <c r="E1" s="1636" t="s">
        <v>30</v>
      </c>
      <c r="F1" s="1508" t="s">
        <v>80</v>
      </c>
      <c r="G1" s="1508" t="s">
        <v>59</v>
      </c>
      <c r="H1" s="1508" t="s">
        <v>2</v>
      </c>
      <c r="I1" s="1508" t="s">
        <v>1</v>
      </c>
      <c r="J1" s="1508" t="s">
        <v>30</v>
      </c>
      <c r="K1" s="1508" t="s">
        <v>41</v>
      </c>
      <c r="L1" s="1508" t="s">
        <v>30</v>
      </c>
      <c r="M1" s="1560" t="s">
        <v>40</v>
      </c>
      <c r="N1" s="99" t="s">
        <v>0</v>
      </c>
      <c r="O1" s="22" t="s">
        <v>0</v>
      </c>
    </row>
    <row r="2" spans="1:23" ht="15" customHeight="1" x14ac:dyDescent="0.2">
      <c r="A2" s="3132" t="s">
        <v>21</v>
      </c>
      <c r="B2" s="3137" t="s">
        <v>4</v>
      </c>
      <c r="C2" s="116">
        <v>1.1000000000000001</v>
      </c>
      <c r="D2" s="6" t="s">
        <v>227</v>
      </c>
      <c r="E2" s="6">
        <f>'חמ"ע'!P6</f>
        <v>108</v>
      </c>
      <c r="F2" s="625">
        <f>'חמ"ע'!R14</f>
        <v>832480.08</v>
      </c>
      <c r="G2" s="625">
        <f>'חמ"ע'!S14</f>
        <v>0</v>
      </c>
      <c r="H2" s="625"/>
      <c r="I2" s="625">
        <f t="shared" ref="I2:I23" si="0">F2</f>
        <v>832480.08</v>
      </c>
      <c r="J2" s="625"/>
      <c r="K2" s="1510"/>
      <c r="L2" s="1511"/>
      <c r="M2" s="121"/>
      <c r="N2" s="100" t="s">
        <v>50</v>
      </c>
      <c r="O2" s="36" t="s">
        <v>46</v>
      </c>
      <c r="Q2" s="10"/>
      <c r="S2" s="10"/>
      <c r="U2" s="10"/>
      <c r="W2" s="10"/>
    </row>
    <row r="3" spans="1:23" ht="15" customHeight="1" x14ac:dyDescent="0.2">
      <c r="A3" s="3133"/>
      <c r="B3" s="3138"/>
      <c r="C3" s="159">
        <v>1.2</v>
      </c>
      <c r="D3" s="160" t="s">
        <v>241</v>
      </c>
      <c r="E3" s="160">
        <f>'חמ"ע'!P23</f>
        <v>13</v>
      </c>
      <c r="F3" s="1509">
        <f>'חמ"ע'!R39</f>
        <v>2999399.54</v>
      </c>
      <c r="G3" s="1509">
        <f>'חמ"ע'!S39</f>
        <v>0</v>
      </c>
      <c r="H3" s="1509"/>
      <c r="I3" s="446">
        <f t="shared" si="0"/>
        <v>2999399.54</v>
      </c>
      <c r="J3" s="1509"/>
      <c r="K3" s="1512">
        <f>'חמ"ע'!V39</f>
        <v>210400</v>
      </c>
      <c r="L3" s="1513"/>
      <c r="M3" s="163"/>
      <c r="N3" s="100"/>
      <c r="O3" s="36"/>
      <c r="Q3" s="10"/>
      <c r="S3" s="10"/>
      <c r="U3" s="10"/>
      <c r="W3" s="10"/>
    </row>
    <row r="4" spans="1:23" ht="15" customHeight="1" x14ac:dyDescent="0.2">
      <c r="A4" s="3133"/>
      <c r="B4" s="3139"/>
      <c r="C4" s="159">
        <v>1.3</v>
      </c>
      <c r="D4" s="160" t="s">
        <v>253</v>
      </c>
      <c r="E4" s="160">
        <f>'חמ"ע'!P48</f>
        <v>27</v>
      </c>
      <c r="F4" s="1509">
        <f>'חמ"ע'!R57</f>
        <v>716754.6</v>
      </c>
      <c r="G4" s="1509">
        <f>'חמ"ע'!S57</f>
        <v>0</v>
      </c>
      <c r="H4" s="1509"/>
      <c r="I4" s="446">
        <f t="shared" si="0"/>
        <v>716754.6</v>
      </c>
      <c r="J4" s="1509"/>
      <c r="K4" s="1512"/>
      <c r="L4" s="1513"/>
      <c r="M4" s="163"/>
      <c r="N4" s="100"/>
      <c r="O4" s="36"/>
      <c r="Q4" s="10"/>
      <c r="S4" s="10"/>
      <c r="U4" s="10"/>
      <c r="W4" s="10"/>
    </row>
    <row r="5" spans="1:23" ht="21.75" customHeight="1" x14ac:dyDescent="0.2">
      <c r="A5" s="3134"/>
      <c r="B5" s="3140" t="s">
        <v>57</v>
      </c>
      <c r="C5" s="11">
        <v>2.1</v>
      </c>
      <c r="D5" s="5" t="s">
        <v>260</v>
      </c>
      <c r="E5" s="5">
        <f>'חמ"ע'!P64</f>
        <v>40</v>
      </c>
      <c r="F5" s="446">
        <f>'חמ"ע'!R72</f>
        <v>201779.34341042821</v>
      </c>
      <c r="G5" s="446">
        <f>'חמ"ע'!S72</f>
        <v>0</v>
      </c>
      <c r="H5" s="446"/>
      <c r="I5" s="446">
        <f t="shared" si="0"/>
        <v>201779.34341042821</v>
      </c>
      <c r="J5" s="446">
        <f>'חמ"ע'!U64</f>
        <v>100</v>
      </c>
      <c r="K5" s="36">
        <f>'חמ"ע'!V72</f>
        <v>2683433.3333333335</v>
      </c>
      <c r="L5" s="1514"/>
      <c r="M5" s="110"/>
      <c r="N5" s="100" t="s">
        <v>50</v>
      </c>
      <c r="O5" s="36" t="s">
        <v>46</v>
      </c>
      <c r="Q5" s="10"/>
      <c r="S5" s="10"/>
      <c r="U5" s="10"/>
      <c r="W5" s="10"/>
    </row>
    <row r="6" spans="1:23" ht="21.75" customHeight="1" x14ac:dyDescent="0.2">
      <c r="A6" s="3134"/>
      <c r="B6" s="3138"/>
      <c r="C6" s="11">
        <v>2.2000000000000002</v>
      </c>
      <c r="D6" s="5" t="s">
        <v>275</v>
      </c>
      <c r="E6" s="5">
        <f>'חמ"ע'!P80</f>
        <v>66</v>
      </c>
      <c r="F6" s="446">
        <f>'חמ"ע'!R87</f>
        <v>488968</v>
      </c>
      <c r="G6" s="446">
        <f>'חמ"ע'!S87</f>
        <v>0</v>
      </c>
      <c r="H6" s="446"/>
      <c r="I6" s="446">
        <f t="shared" si="0"/>
        <v>488968</v>
      </c>
      <c r="J6" s="446"/>
      <c r="K6" s="36"/>
      <c r="L6" s="1514"/>
      <c r="M6" s="110"/>
      <c r="N6" s="100"/>
      <c r="O6" s="36"/>
      <c r="Q6" s="10"/>
      <c r="S6" s="10"/>
      <c r="U6" s="10"/>
      <c r="W6" s="10"/>
    </row>
    <row r="7" spans="1:23" ht="21.75" customHeight="1" x14ac:dyDescent="0.2">
      <c r="A7" s="3134"/>
      <c r="B7" s="3139"/>
      <c r="C7" s="11">
        <v>2.2999999999999998</v>
      </c>
      <c r="D7" s="5" t="s">
        <v>282</v>
      </c>
      <c r="E7" s="5"/>
      <c r="F7" s="446"/>
      <c r="G7" s="446"/>
      <c r="H7" s="446"/>
      <c r="I7" s="446">
        <f t="shared" si="0"/>
        <v>0</v>
      </c>
      <c r="J7" s="446">
        <f>'חמ"ע'!U92</f>
        <v>6</v>
      </c>
      <c r="K7" s="36">
        <f>'חמ"ע'!V96</f>
        <v>32940.720000000001</v>
      </c>
      <c r="L7" s="1514"/>
      <c r="M7" s="110"/>
      <c r="N7" s="100"/>
      <c r="O7" s="36"/>
      <c r="Q7" s="10"/>
      <c r="S7" s="10"/>
      <c r="U7" s="10"/>
      <c r="W7" s="10"/>
    </row>
    <row r="8" spans="1:23" ht="15" customHeight="1" x14ac:dyDescent="0.2">
      <c r="A8" s="3134"/>
      <c r="B8" s="3141" t="s">
        <v>29</v>
      </c>
      <c r="C8" s="11">
        <v>3.1</v>
      </c>
      <c r="D8" s="5" t="s">
        <v>27</v>
      </c>
      <c r="E8" s="5">
        <f>'חמ"ע'!P101</f>
        <v>86</v>
      </c>
      <c r="F8" s="446">
        <f>'חמ"ע'!R110</f>
        <v>3807159.1119999997</v>
      </c>
      <c r="G8" s="446">
        <f>'חמ"ע'!S110</f>
        <v>0</v>
      </c>
      <c r="H8" s="446"/>
      <c r="I8" s="446">
        <f t="shared" si="0"/>
        <v>3807159.1119999997</v>
      </c>
      <c r="J8" s="446">
        <f>'חמ"ע'!U101</f>
        <v>10</v>
      </c>
      <c r="K8" s="36">
        <f>'חמ"ע'!V110</f>
        <v>454662.92</v>
      </c>
      <c r="L8" s="1514"/>
      <c r="M8" s="110"/>
      <c r="N8" s="100" t="s">
        <v>50</v>
      </c>
      <c r="O8" s="36" t="s">
        <v>46</v>
      </c>
      <c r="Q8" s="10"/>
      <c r="S8" s="10"/>
      <c r="U8" s="10"/>
      <c r="W8" s="10"/>
    </row>
    <row r="9" spans="1:23" ht="15" hidden="1" customHeight="1" x14ac:dyDescent="0.2">
      <c r="A9" s="3134"/>
      <c r="B9" s="3142"/>
      <c r="C9" s="11">
        <v>3.2</v>
      </c>
      <c r="D9" s="5" t="s">
        <v>294</v>
      </c>
      <c r="E9" s="5">
        <f>'חמ"ע'!P115</f>
        <v>0</v>
      </c>
      <c r="F9" s="446">
        <f>'חמ"ע'!R133</f>
        <v>0</v>
      </c>
      <c r="G9" s="446">
        <f>'חמ"ע'!S133</f>
        <v>0</v>
      </c>
      <c r="H9" s="446"/>
      <c r="I9" s="446">
        <f t="shared" si="0"/>
        <v>0</v>
      </c>
      <c r="J9" s="446">
        <f>'חמ"ע'!U115</f>
        <v>2</v>
      </c>
      <c r="K9" s="36">
        <f>'חמ"ע'!V133</f>
        <v>0</v>
      </c>
      <c r="L9" s="1514"/>
      <c r="M9" s="110"/>
      <c r="N9" s="100"/>
      <c r="O9" s="36"/>
      <c r="Q9" s="10"/>
      <c r="S9" s="10"/>
      <c r="U9" s="10"/>
      <c r="W9" s="10"/>
    </row>
    <row r="10" spans="1:23" ht="15" customHeight="1" x14ac:dyDescent="0.2">
      <c r="A10" s="3134"/>
      <c r="B10" s="3143" t="s">
        <v>6</v>
      </c>
      <c r="C10" s="11">
        <v>4.0999999999999996</v>
      </c>
      <c r="D10" s="5" t="s">
        <v>315</v>
      </c>
      <c r="E10" s="5">
        <f>'חמ"ע'!P141</f>
        <v>50</v>
      </c>
      <c r="F10" s="446">
        <f>'חמ"ע'!R143</f>
        <v>127500</v>
      </c>
      <c r="G10" s="446">
        <f>'חמ"ע'!S143</f>
        <v>22500</v>
      </c>
      <c r="H10" s="446"/>
      <c r="I10" s="446">
        <f t="shared" si="0"/>
        <v>127500</v>
      </c>
      <c r="J10" s="446"/>
      <c r="K10" s="36"/>
      <c r="L10" s="1514"/>
      <c r="M10" s="110"/>
      <c r="N10" s="100" t="s">
        <v>51</v>
      </c>
      <c r="O10" s="36" t="s">
        <v>48</v>
      </c>
      <c r="Q10" s="10"/>
      <c r="S10" s="10"/>
      <c r="U10" s="10"/>
      <c r="W10" s="10"/>
    </row>
    <row r="11" spans="1:23" ht="15" customHeight="1" x14ac:dyDescent="0.2">
      <c r="A11" s="3134"/>
      <c r="B11" s="3143"/>
      <c r="C11" s="11">
        <v>4.2</v>
      </c>
      <c r="D11" s="5" t="s">
        <v>318</v>
      </c>
      <c r="E11" s="5">
        <f>'חמ"ע'!P148+'חמ"ע'!P155+'חמ"ע'!P162</f>
        <v>7</v>
      </c>
      <c r="F11" s="446">
        <f>'חמ"ע'!R165</f>
        <v>1619569.6578000002</v>
      </c>
      <c r="G11" s="446">
        <f>'חמ"ע'!S165</f>
        <v>285806.41019999998</v>
      </c>
      <c r="H11" s="446"/>
      <c r="I11" s="446">
        <f t="shared" si="0"/>
        <v>1619569.6578000002</v>
      </c>
      <c r="J11" s="446">
        <f>'חמ"ע'!U163+'חמ"ע'!U157+'חמ"ע'!U149</f>
        <v>6</v>
      </c>
      <c r="K11" s="36">
        <f>'חמ"ע'!V165</f>
        <v>3277164.333333333</v>
      </c>
      <c r="L11" s="1514"/>
      <c r="M11" s="110"/>
      <c r="N11" s="100" t="s">
        <v>51</v>
      </c>
      <c r="O11" s="36" t="s">
        <v>48</v>
      </c>
      <c r="Q11" s="10"/>
      <c r="S11" s="10"/>
      <c r="U11" s="10"/>
      <c r="W11" s="10"/>
    </row>
    <row r="12" spans="1:23" ht="15" customHeight="1" x14ac:dyDescent="0.2">
      <c r="A12" s="3134"/>
      <c r="B12" s="3143"/>
      <c r="C12" s="11">
        <v>4.3</v>
      </c>
      <c r="D12" s="5" t="s">
        <v>339</v>
      </c>
      <c r="E12" s="5">
        <f>'חמ"ע'!P170</f>
        <v>35</v>
      </c>
      <c r="F12" s="446">
        <f>'חמ"ע'!R173</f>
        <v>1556358.5769047618</v>
      </c>
      <c r="G12" s="446">
        <f>'חמ"ע'!S173</f>
        <v>274651.5135714286</v>
      </c>
      <c r="H12" s="446"/>
      <c r="I12" s="446">
        <f t="shared" si="0"/>
        <v>1556358.5769047618</v>
      </c>
      <c r="J12" s="446">
        <f>'חמ"ע'!U170</f>
        <v>86</v>
      </c>
      <c r="K12" s="36">
        <f>'חמ"ע'!V173</f>
        <v>5954373.0314285718</v>
      </c>
      <c r="L12" s="1514"/>
      <c r="M12" s="110"/>
      <c r="N12" s="100" t="s">
        <v>50</v>
      </c>
      <c r="O12" s="36" t="s">
        <v>47</v>
      </c>
      <c r="P12" s="4">
        <v>5954373.0314285718</v>
      </c>
      <c r="Q12" s="10"/>
      <c r="S12" s="10"/>
      <c r="U12" s="10"/>
      <c r="W12" s="10"/>
    </row>
    <row r="13" spans="1:23" ht="15" customHeight="1" x14ac:dyDescent="0.2">
      <c r="A13" s="3134"/>
      <c r="B13" s="3143" t="s">
        <v>26</v>
      </c>
      <c r="C13" s="11">
        <v>5.0999999999999996</v>
      </c>
      <c r="D13" s="164" t="s">
        <v>343</v>
      </c>
      <c r="E13" s="5">
        <f>'חמ"ע'!P179+'חמ"ע'!P182</f>
        <v>3</v>
      </c>
      <c r="F13" s="446">
        <f>'חמ"ע'!R187</f>
        <v>474088.4208333334</v>
      </c>
      <c r="G13" s="446">
        <f>'חמ"ע'!S187</f>
        <v>83662.662500000006</v>
      </c>
      <c r="H13" s="446"/>
      <c r="I13" s="446">
        <f t="shared" si="0"/>
        <v>474088.4208333334</v>
      </c>
      <c r="J13" s="446"/>
      <c r="K13" s="1515"/>
      <c r="L13" s="1516"/>
      <c r="M13" s="110"/>
      <c r="N13" s="100" t="s">
        <v>50</v>
      </c>
      <c r="O13" s="36" t="s">
        <v>47</v>
      </c>
      <c r="Q13" s="10"/>
      <c r="S13" s="10"/>
      <c r="U13" s="10"/>
      <c r="W13" s="10"/>
    </row>
    <row r="14" spans="1:23" ht="15" customHeight="1" x14ac:dyDescent="0.2">
      <c r="A14" s="3134"/>
      <c r="B14" s="3143"/>
      <c r="C14" s="11">
        <v>5.2</v>
      </c>
      <c r="D14" s="5" t="s">
        <v>344</v>
      </c>
      <c r="E14" s="5">
        <f>'חמ"ע'!P192</f>
        <v>12</v>
      </c>
      <c r="F14" s="446">
        <f>'חמ"ע'!R201</f>
        <v>384560.1</v>
      </c>
      <c r="G14" s="446">
        <f>'חמ"ע'!S201</f>
        <v>0</v>
      </c>
      <c r="H14" s="446"/>
      <c r="I14" s="446">
        <f t="shared" si="0"/>
        <v>384560.1</v>
      </c>
      <c r="J14" s="446"/>
      <c r="K14" s="36"/>
      <c r="L14" s="1514"/>
      <c r="M14" s="110"/>
      <c r="N14" s="100" t="s">
        <v>51</v>
      </c>
      <c r="O14" s="36" t="s">
        <v>48</v>
      </c>
      <c r="Q14" s="10"/>
      <c r="S14" s="10"/>
      <c r="U14" s="10"/>
      <c r="W14" s="10"/>
    </row>
    <row r="15" spans="1:23" ht="15" customHeight="1" x14ac:dyDescent="0.2">
      <c r="A15" s="3134"/>
      <c r="B15" s="3144" t="s">
        <v>9</v>
      </c>
      <c r="C15" s="11">
        <v>6.1</v>
      </c>
      <c r="D15" s="5" t="s">
        <v>353</v>
      </c>
      <c r="E15" s="5">
        <f>'חמ"ע'!P206</f>
        <v>1</v>
      </c>
      <c r="F15" s="446">
        <f>'חמ"ע'!R211</f>
        <v>94848</v>
      </c>
      <c r="G15" s="446">
        <f>'חמ"ע'!S211</f>
        <v>0</v>
      </c>
      <c r="H15" s="446"/>
      <c r="I15" s="446">
        <f t="shared" si="0"/>
        <v>94848</v>
      </c>
      <c r="J15" s="446">
        <f>'חמ"ע'!U206</f>
        <v>1</v>
      </c>
      <c r="K15" s="36">
        <f>'חמ"ע'!V211</f>
        <v>69008</v>
      </c>
      <c r="L15" s="1514"/>
      <c r="M15" s="110"/>
      <c r="N15" s="100" t="s">
        <v>51</v>
      </c>
      <c r="O15" s="36" t="s">
        <v>48</v>
      </c>
      <c r="Q15" s="10"/>
      <c r="S15" s="10"/>
      <c r="U15" s="10"/>
      <c r="W15" s="10"/>
    </row>
    <row r="16" spans="1:23" ht="14.25" x14ac:dyDescent="0.2">
      <c r="A16" s="3134"/>
      <c r="B16" s="3144"/>
      <c r="C16" s="11">
        <v>6.2</v>
      </c>
      <c r="D16" s="165" t="s">
        <v>362</v>
      </c>
      <c r="E16" s="5">
        <f>'חמ"ע'!P218+'חמ"ע'!P226</f>
        <v>6</v>
      </c>
      <c r="F16" s="446">
        <f>'חמ"ע'!R232</f>
        <v>545285</v>
      </c>
      <c r="G16" s="446">
        <f>'חמ"ע'!S232</f>
        <v>0</v>
      </c>
      <c r="H16" s="446"/>
      <c r="I16" s="446">
        <f t="shared" si="0"/>
        <v>545285</v>
      </c>
      <c r="J16" s="446"/>
      <c r="K16" s="36"/>
      <c r="L16" s="1514"/>
      <c r="M16" s="110"/>
      <c r="N16" s="100" t="s">
        <v>51</v>
      </c>
      <c r="O16" s="36" t="s">
        <v>48</v>
      </c>
      <c r="Q16" s="10"/>
      <c r="S16" s="10"/>
      <c r="U16" s="10"/>
      <c r="W16" s="10"/>
    </row>
    <row r="17" spans="1:23" ht="15" customHeight="1" x14ac:dyDescent="0.2">
      <c r="A17" s="3134"/>
      <c r="B17" s="3144"/>
      <c r="C17" s="11">
        <v>6.3</v>
      </c>
      <c r="D17" s="12" t="s">
        <v>10</v>
      </c>
      <c r="E17" s="5">
        <f>'חמ"ע'!P237</f>
        <v>5</v>
      </c>
      <c r="F17" s="446">
        <f>+'חמ"ע'!R241</f>
        <v>11500</v>
      </c>
      <c r="G17" s="446">
        <f>+'חמ"ע'!S241</f>
        <v>0</v>
      </c>
      <c r="H17" s="446"/>
      <c r="I17" s="446">
        <f t="shared" si="0"/>
        <v>11500</v>
      </c>
      <c r="J17" s="446"/>
      <c r="K17" s="36"/>
      <c r="L17" s="1514"/>
      <c r="M17" s="110"/>
      <c r="N17" s="100" t="s">
        <v>51</v>
      </c>
      <c r="O17" s="36" t="s">
        <v>48</v>
      </c>
      <c r="Q17" s="10"/>
      <c r="S17" s="10"/>
      <c r="U17" s="10"/>
      <c r="W17" s="10"/>
    </row>
    <row r="18" spans="1:23" ht="15" customHeight="1" x14ac:dyDescent="0.2">
      <c r="A18" s="3134"/>
      <c r="B18" s="3144"/>
      <c r="C18" s="11">
        <v>6.4</v>
      </c>
      <c r="D18" s="12" t="s">
        <v>11</v>
      </c>
      <c r="E18" s="5">
        <f>+'חמ"ע'!P246</f>
        <v>2</v>
      </c>
      <c r="F18" s="446">
        <f>+'חמ"ע'!R251</f>
        <v>145560</v>
      </c>
      <c r="G18" s="446">
        <f>+'חמ"ע'!S251</f>
        <v>0</v>
      </c>
      <c r="H18" s="446"/>
      <c r="I18" s="446">
        <f t="shared" si="0"/>
        <v>145560</v>
      </c>
      <c r="J18" s="446">
        <f>'חמ"ע'!U246</f>
        <v>1</v>
      </c>
      <c r="K18" s="36">
        <f>'חמ"ע'!V251</f>
        <v>72780</v>
      </c>
      <c r="L18" s="1514"/>
      <c r="M18" s="110"/>
      <c r="N18" s="100" t="s">
        <v>51</v>
      </c>
      <c r="O18" s="36" t="s">
        <v>48</v>
      </c>
      <c r="Q18" s="10"/>
      <c r="S18" s="10"/>
      <c r="U18" s="10"/>
      <c r="W18" s="10"/>
    </row>
    <row r="19" spans="1:23" ht="15" customHeight="1" x14ac:dyDescent="0.2">
      <c r="A19" s="3134"/>
      <c r="B19" s="1676" t="s">
        <v>53</v>
      </c>
      <c r="C19" s="11">
        <v>6.5</v>
      </c>
      <c r="D19" s="5" t="s">
        <v>12</v>
      </c>
      <c r="E19" s="5">
        <f>'חמ"ע'!P257</f>
        <v>22</v>
      </c>
      <c r="F19" s="446">
        <f>'חמ"ע'!R270</f>
        <v>549092.72</v>
      </c>
      <c r="G19" s="446">
        <f>'חמ"ע'!S270</f>
        <v>0</v>
      </c>
      <c r="H19" s="446"/>
      <c r="I19" s="446">
        <f t="shared" si="0"/>
        <v>549092.72</v>
      </c>
      <c r="J19" s="446">
        <f>E19</f>
        <v>22</v>
      </c>
      <c r="K19" s="36">
        <f>'חמ"ע'!V270</f>
        <v>971804.67999999993</v>
      </c>
      <c r="L19" s="1514"/>
      <c r="M19" s="110"/>
      <c r="N19" s="100" t="s">
        <v>51</v>
      </c>
      <c r="O19" s="36" t="s">
        <v>48</v>
      </c>
      <c r="Q19" s="10"/>
      <c r="S19" s="10"/>
      <c r="U19" s="10"/>
      <c r="W19" s="10"/>
    </row>
    <row r="20" spans="1:23" ht="14.25" customHeight="1" x14ac:dyDescent="0.2">
      <c r="A20" s="3134"/>
      <c r="B20" s="633"/>
      <c r="C20" s="11">
        <v>8</v>
      </c>
      <c r="D20" s="634" t="s">
        <v>82</v>
      </c>
      <c r="E20" s="5"/>
      <c r="F20" s="446">
        <f>'חמ"ע'!R285</f>
        <v>1002500</v>
      </c>
      <c r="G20" s="446">
        <f>'חמ"ע'!S285</f>
        <v>0</v>
      </c>
      <c r="H20" s="446"/>
      <c r="I20" s="446">
        <f t="shared" si="0"/>
        <v>1002500</v>
      </c>
      <c r="J20" s="446"/>
      <c r="K20" s="36">
        <f>'חמ"ע'!V285</f>
        <v>12500</v>
      </c>
      <c r="L20" s="1514"/>
      <c r="M20" s="110"/>
      <c r="N20" s="101"/>
      <c r="O20" s="75"/>
      <c r="Q20" s="10"/>
      <c r="S20" s="10"/>
      <c r="U20" s="10"/>
      <c r="W20" s="10"/>
    </row>
    <row r="21" spans="1:23" ht="14.25" customHeight="1" x14ac:dyDescent="0.2">
      <c r="A21" s="3135"/>
      <c r="B21" s="631"/>
      <c r="C21" s="1683"/>
      <c r="D21" s="632" t="s">
        <v>665</v>
      </c>
      <c r="E21" s="530">
        <f>'חמ"ע'!P290</f>
        <v>75</v>
      </c>
      <c r="F21" s="1517">
        <f>'חמ"ע'!R293</f>
        <v>150000</v>
      </c>
      <c r="G21" s="1517">
        <f>'חמ"ע'!S293</f>
        <v>0</v>
      </c>
      <c r="H21" s="1517"/>
      <c r="I21" s="446">
        <f t="shared" si="0"/>
        <v>150000</v>
      </c>
      <c r="J21" s="1517"/>
      <c r="K21" s="1518"/>
      <c r="L21" s="75"/>
      <c r="M21" s="1563"/>
      <c r="N21" s="101"/>
      <c r="O21" s="75"/>
      <c r="Q21" s="10"/>
      <c r="S21" s="10"/>
      <c r="U21" s="10"/>
      <c r="W21" s="10"/>
    </row>
    <row r="22" spans="1:23" ht="14.25" customHeight="1" x14ac:dyDescent="0.2">
      <c r="A22" s="3135"/>
      <c r="B22" s="631"/>
      <c r="C22" s="1683"/>
      <c r="D22" s="632" t="s">
        <v>647</v>
      </c>
      <c r="E22" s="530"/>
      <c r="F22" s="1517"/>
      <c r="G22" s="1517"/>
      <c r="H22" s="1517"/>
      <c r="I22" s="446">
        <f t="shared" si="0"/>
        <v>0</v>
      </c>
      <c r="J22" s="446">
        <f>'חמ"ע'!U300</f>
        <v>5</v>
      </c>
      <c r="K22" s="1518">
        <f>'חמ"ע'!V300</f>
        <v>134900</v>
      </c>
      <c r="L22" s="75"/>
      <c r="M22" s="1563"/>
      <c r="N22" s="101"/>
      <c r="O22" s="75"/>
      <c r="Q22" s="10"/>
      <c r="S22" s="10"/>
      <c r="U22" s="10"/>
      <c r="W22" s="10"/>
    </row>
    <row r="23" spans="1:23" ht="14.25" customHeight="1" x14ac:dyDescent="0.2">
      <c r="A23" s="3135"/>
      <c r="B23" s="631"/>
      <c r="C23" s="1684"/>
      <c r="D23" s="632" t="s">
        <v>577</v>
      </c>
      <c r="E23" s="530">
        <f>'חמ"ע'!P305</f>
        <v>500</v>
      </c>
      <c r="F23" s="1517">
        <f>'חמ"ע'!R308</f>
        <v>60000</v>
      </c>
      <c r="G23" s="1517"/>
      <c r="H23" s="1517"/>
      <c r="I23" s="446">
        <f t="shared" si="0"/>
        <v>60000</v>
      </c>
      <c r="J23" s="1517"/>
      <c r="K23" s="1518"/>
      <c r="L23" s="75"/>
      <c r="M23" s="1563"/>
      <c r="N23" s="101"/>
      <c r="O23" s="75"/>
      <c r="Q23" s="10"/>
      <c r="S23" s="10"/>
      <c r="U23" s="10"/>
      <c r="W23" s="10"/>
    </row>
    <row r="24" spans="1:23" s="9" customFormat="1" ht="15.75" thickBot="1" x14ac:dyDescent="0.3">
      <c r="A24" s="3136"/>
      <c r="B24" s="150"/>
      <c r="C24" s="150"/>
      <c r="D24" s="151" t="s">
        <v>32</v>
      </c>
      <c r="E24" s="1564">
        <f>-F24+'חמ"ע'!R311</f>
        <v>0</v>
      </c>
      <c r="F24" s="1519">
        <f>SUM(F2:F23)</f>
        <v>15767403.150948524</v>
      </c>
      <c r="G24" s="1519">
        <f t="shared" ref="G24:M24" si="1">SUM(G2:G23)</f>
        <v>666620.58627142862</v>
      </c>
      <c r="H24" s="1519">
        <f t="shared" si="1"/>
        <v>0</v>
      </c>
      <c r="I24" s="1519">
        <f>SUM(I2:I23)</f>
        <v>15767403.150948524</v>
      </c>
      <c r="J24" s="1519">
        <f t="shared" si="1"/>
        <v>239</v>
      </c>
      <c r="K24" s="1519">
        <f>SUM(K2:K23)</f>
        <v>13873967.018095238</v>
      </c>
      <c r="L24" s="1519">
        <f t="shared" si="1"/>
        <v>0</v>
      </c>
      <c r="M24" s="1559">
        <f t="shared" si="1"/>
        <v>0</v>
      </c>
      <c r="N24" s="1561">
        <f>SUM(N2:N22)</f>
        <v>0</v>
      </c>
      <c r="O24" s="123">
        <f>SUM(O2:O22)</f>
        <v>0</v>
      </c>
      <c r="P24" s="2850"/>
      <c r="Q24" s="10"/>
      <c r="S24" s="10"/>
      <c r="U24" s="10"/>
      <c r="W24" s="10"/>
    </row>
    <row r="25" spans="1:23" thickBot="1" x14ac:dyDescent="0.25">
      <c r="A25" s="3145" t="s">
        <v>14</v>
      </c>
      <c r="B25" s="3149" t="s">
        <v>4</v>
      </c>
      <c r="C25" s="1685">
        <v>1</v>
      </c>
      <c r="D25" s="15" t="s">
        <v>534</v>
      </c>
      <c r="E25" s="15">
        <f>צרפת!M4+צרפת!M13</f>
        <v>6</v>
      </c>
      <c r="F25" s="1520">
        <f>צרפת!O22</f>
        <v>1053519.6000000001</v>
      </c>
      <c r="G25" s="1520"/>
      <c r="H25" s="1521"/>
      <c r="I25" s="1521">
        <f>F25</f>
        <v>1053519.6000000001</v>
      </c>
      <c r="J25" s="1521"/>
      <c r="K25" s="1521"/>
      <c r="L25" s="1522"/>
      <c r="M25" s="16"/>
      <c r="N25" s="65" t="s">
        <v>50</v>
      </c>
      <c r="O25" s="16" t="s">
        <v>49</v>
      </c>
      <c r="Q25" s="10"/>
      <c r="S25" s="10"/>
      <c r="U25" s="10"/>
      <c r="W25" s="10"/>
    </row>
    <row r="26" spans="1:23" ht="14.25" x14ac:dyDescent="0.2">
      <c r="A26" s="3146"/>
      <c r="B26" s="3150"/>
      <c r="C26" s="1686">
        <v>1</v>
      </c>
      <c r="D26" s="15" t="s">
        <v>625</v>
      </c>
      <c r="E26" s="82">
        <f>צרפת!M29</f>
        <v>2</v>
      </c>
      <c r="F26" s="1523">
        <f>צרפת!O37</f>
        <v>489880</v>
      </c>
      <c r="G26" s="1523"/>
      <c r="H26" s="96">
        <f>F26</f>
        <v>489880</v>
      </c>
      <c r="I26" s="96"/>
      <c r="J26" s="96"/>
      <c r="K26" s="96"/>
      <c r="L26" s="1524"/>
      <c r="M26" s="554"/>
      <c r="N26" s="555"/>
      <c r="O26" s="554"/>
      <c r="Q26" s="10"/>
      <c r="S26" s="10"/>
      <c r="U26" s="10"/>
      <c r="W26" s="10"/>
    </row>
    <row r="27" spans="1:23" ht="14.25" customHeight="1" x14ac:dyDescent="0.2">
      <c r="A27" s="3147"/>
      <c r="B27" s="3151"/>
      <c r="C27" s="1687">
        <v>2</v>
      </c>
      <c r="D27" s="14" t="s">
        <v>542</v>
      </c>
      <c r="E27" s="14">
        <f>צרפת!M45</f>
        <v>2</v>
      </c>
      <c r="F27" s="34">
        <f>צרפת!O54</f>
        <v>325362.08</v>
      </c>
      <c r="G27" s="34"/>
      <c r="H27" s="34"/>
      <c r="I27" s="34">
        <f>F27</f>
        <v>325362.08</v>
      </c>
      <c r="J27" s="34"/>
      <c r="K27" s="34"/>
      <c r="L27" s="1526"/>
      <c r="M27" s="17"/>
      <c r="N27" s="30" t="s">
        <v>50</v>
      </c>
      <c r="O27" s="17" t="s">
        <v>49</v>
      </c>
      <c r="Q27" s="10"/>
      <c r="S27" s="10"/>
      <c r="U27" s="10"/>
      <c r="W27" s="10"/>
    </row>
    <row r="28" spans="1:23" ht="14.25" customHeight="1" x14ac:dyDescent="0.2">
      <c r="A28" s="3147"/>
      <c r="B28" s="1677" t="s">
        <v>58</v>
      </c>
      <c r="C28" s="13">
        <v>3</v>
      </c>
      <c r="D28" s="14" t="s">
        <v>56</v>
      </c>
      <c r="E28" s="14">
        <f>צרפת!M65</f>
        <v>150</v>
      </c>
      <c r="F28" s="1525">
        <f>צרפת!O78</f>
        <v>3313468</v>
      </c>
      <c r="G28" s="1525">
        <f>צרפת!P78</f>
        <v>92880</v>
      </c>
      <c r="H28" s="34">
        <f>F28</f>
        <v>3313468</v>
      </c>
      <c r="I28" s="34"/>
      <c r="J28" s="34"/>
      <c r="K28" s="34"/>
      <c r="L28" s="1526"/>
      <c r="M28" s="17"/>
      <c r="N28" s="30" t="s">
        <v>51</v>
      </c>
      <c r="O28" s="17" t="s">
        <v>46</v>
      </c>
      <c r="Q28" s="10"/>
      <c r="S28" s="10"/>
      <c r="U28" s="10"/>
      <c r="W28" s="10"/>
    </row>
    <row r="29" spans="1:23" ht="14.25" customHeight="1" x14ac:dyDescent="0.2">
      <c r="A29" s="3147"/>
      <c r="B29" s="3152" t="s">
        <v>29</v>
      </c>
      <c r="C29" s="13">
        <v>4</v>
      </c>
      <c r="D29" s="35" t="s">
        <v>545</v>
      </c>
      <c r="E29" s="14">
        <f>צרפת!M85</f>
        <v>5</v>
      </c>
      <c r="F29" s="1525">
        <f>צרפת!O91</f>
        <v>520610</v>
      </c>
      <c r="G29" s="1525"/>
      <c r="H29" s="34"/>
      <c r="I29" s="34">
        <f>F29</f>
        <v>520610</v>
      </c>
      <c r="J29" s="34"/>
      <c r="K29" s="34"/>
      <c r="L29" s="1526"/>
      <c r="M29" s="17"/>
      <c r="N29" s="30" t="s">
        <v>50</v>
      </c>
      <c r="O29" s="17" t="s">
        <v>49</v>
      </c>
      <c r="Q29" s="10"/>
      <c r="S29" s="10"/>
      <c r="U29" s="10"/>
      <c r="W29" s="10"/>
    </row>
    <row r="30" spans="1:23" ht="14.25" customHeight="1" x14ac:dyDescent="0.2">
      <c r="A30" s="3147"/>
      <c r="B30" s="3152"/>
      <c r="C30" s="13">
        <v>5</v>
      </c>
      <c r="D30" s="35" t="s">
        <v>659</v>
      </c>
      <c r="E30" s="14">
        <f>צרפת!M97</f>
        <v>30</v>
      </c>
      <c r="F30" s="1525">
        <f>צרפת!O104</f>
        <v>750600</v>
      </c>
      <c r="G30" s="1525"/>
      <c r="H30" s="34"/>
      <c r="I30" s="34">
        <f>F30</f>
        <v>750600</v>
      </c>
      <c r="J30" s="34"/>
      <c r="K30" s="34"/>
      <c r="L30" s="1526"/>
      <c r="M30" s="17"/>
      <c r="N30" s="30" t="s">
        <v>50</v>
      </c>
      <c r="O30" s="17"/>
      <c r="Q30" s="10"/>
      <c r="S30" s="10"/>
      <c r="U30" s="10"/>
      <c r="W30" s="10"/>
    </row>
    <row r="31" spans="1:23" ht="14.25" customHeight="1" x14ac:dyDescent="0.2">
      <c r="A31" s="3147"/>
      <c r="B31" s="3152" t="s">
        <v>70</v>
      </c>
      <c r="C31" s="13">
        <v>6</v>
      </c>
      <c r="D31" s="14" t="s">
        <v>67</v>
      </c>
      <c r="E31" s="14">
        <v>1</v>
      </c>
      <c r="F31" s="1525">
        <f>צרפת!O121</f>
        <v>689643.95</v>
      </c>
      <c r="G31" s="1525">
        <f>צרפת!P121</f>
        <v>67297.05</v>
      </c>
      <c r="H31" s="34">
        <f>F31</f>
        <v>689643.95</v>
      </c>
      <c r="I31" s="34"/>
      <c r="J31" s="34"/>
      <c r="K31" s="34"/>
      <c r="L31" s="1526"/>
      <c r="M31" s="17">
        <f>צרפת!S121</f>
        <v>1000000</v>
      </c>
      <c r="N31" s="30"/>
      <c r="O31" s="17"/>
      <c r="Q31" s="10"/>
      <c r="S31" s="10"/>
      <c r="U31" s="10"/>
      <c r="W31" s="10"/>
    </row>
    <row r="32" spans="1:23" ht="14.25" customHeight="1" x14ac:dyDescent="0.2">
      <c r="A32" s="3147"/>
      <c r="B32" s="3152"/>
      <c r="C32" s="13">
        <v>7</v>
      </c>
      <c r="D32" s="14" t="s">
        <v>74</v>
      </c>
      <c r="E32" s="14">
        <v>1</v>
      </c>
      <c r="F32" s="1525">
        <f>צרפת!O138</f>
        <v>1330760</v>
      </c>
      <c r="G32" s="1525">
        <f>צרפת!P138</f>
        <v>55440</v>
      </c>
      <c r="H32" s="34">
        <f>F32</f>
        <v>1330760</v>
      </c>
      <c r="I32" s="34"/>
      <c r="J32" s="34"/>
      <c r="K32" s="34"/>
      <c r="L32" s="1526"/>
      <c r="M32" s="17">
        <f>צרפת!S138</f>
        <v>314560</v>
      </c>
      <c r="N32" s="30" t="s">
        <v>50</v>
      </c>
      <c r="O32" s="17"/>
      <c r="Q32" s="10"/>
      <c r="S32" s="10"/>
      <c r="U32" s="10"/>
      <c r="W32" s="10"/>
    </row>
    <row r="33" spans="1:23" ht="28.5" x14ac:dyDescent="0.2">
      <c r="A33" s="3147"/>
      <c r="B33" s="3152"/>
      <c r="C33" s="13">
        <v>8</v>
      </c>
      <c r="D33" s="168" t="s">
        <v>73</v>
      </c>
      <c r="E33" s="14"/>
      <c r="F33" s="1525">
        <f>צרפת!O155</f>
        <v>632956</v>
      </c>
      <c r="G33" s="1525"/>
      <c r="H33" s="34">
        <f>F33</f>
        <v>632956</v>
      </c>
      <c r="I33" s="34"/>
      <c r="J33" s="34"/>
      <c r="K33" s="34"/>
      <c r="L33" s="1526"/>
      <c r="M33" s="17"/>
      <c r="N33" s="30" t="s">
        <v>50</v>
      </c>
      <c r="O33" s="17"/>
      <c r="Q33" s="10"/>
      <c r="S33" s="10"/>
      <c r="U33" s="10"/>
      <c r="W33" s="10"/>
    </row>
    <row r="34" spans="1:23" ht="14.25" customHeight="1" x14ac:dyDescent="0.2">
      <c r="A34" s="3147"/>
      <c r="B34" s="1678" t="s">
        <v>37</v>
      </c>
      <c r="C34" s="13">
        <v>9</v>
      </c>
      <c r="D34" s="14" t="s">
        <v>178</v>
      </c>
      <c r="E34" s="14">
        <f>צרפת!M160</f>
        <v>2</v>
      </c>
      <c r="F34" s="1525">
        <f>צרפת!O163</f>
        <v>43840</v>
      </c>
      <c r="G34" s="1525"/>
      <c r="H34" s="34">
        <f>F34</f>
        <v>43840</v>
      </c>
      <c r="I34" s="34"/>
      <c r="J34" s="34"/>
      <c r="K34" s="34"/>
      <c r="L34" s="1526"/>
      <c r="M34" s="17"/>
      <c r="N34" s="30" t="s">
        <v>50</v>
      </c>
      <c r="O34" s="17"/>
      <c r="Q34" s="10"/>
      <c r="S34" s="10"/>
      <c r="U34" s="10"/>
      <c r="W34" s="10"/>
    </row>
    <row r="35" spans="1:23" ht="14.25" customHeight="1" x14ac:dyDescent="0.2">
      <c r="A35" s="3147"/>
      <c r="B35" s="3153" t="s">
        <v>6</v>
      </c>
      <c r="C35" s="13">
        <v>10</v>
      </c>
      <c r="D35" s="35" t="s">
        <v>660</v>
      </c>
      <c r="E35" s="14">
        <f>צרפת!M169</f>
        <v>7</v>
      </c>
      <c r="F35" s="1525">
        <f>צרפת!O173</f>
        <v>1426937.5</v>
      </c>
      <c r="G35" s="1525">
        <f>צרפת!P173</f>
        <v>251812.5</v>
      </c>
      <c r="H35" s="34"/>
      <c r="I35" s="34">
        <f t="shared" ref="I35:I43" si="2">F35</f>
        <v>1426937.5</v>
      </c>
      <c r="J35" s="34">
        <f>צרפת!H169</f>
        <v>11</v>
      </c>
      <c r="K35" s="34">
        <f>צרפת!S173</f>
        <v>3097500</v>
      </c>
      <c r="L35" s="1526"/>
      <c r="M35" s="17"/>
      <c r="N35" s="30" t="s">
        <v>50</v>
      </c>
      <c r="O35" s="17" t="s">
        <v>49</v>
      </c>
      <c r="Q35" s="10"/>
      <c r="S35" s="10"/>
      <c r="U35" s="10"/>
      <c r="W35" s="10"/>
    </row>
    <row r="36" spans="1:23" ht="14.25" customHeight="1" x14ac:dyDescent="0.2">
      <c r="A36" s="3147"/>
      <c r="B36" s="3153"/>
      <c r="C36" s="13">
        <v>11</v>
      </c>
      <c r="D36" s="35" t="s">
        <v>661</v>
      </c>
      <c r="E36" s="14">
        <f>צרפת!M179</f>
        <v>4</v>
      </c>
      <c r="F36" s="1525">
        <f>צרפת!O183</f>
        <v>314160</v>
      </c>
      <c r="G36" s="1525">
        <f>צרפת!P183</f>
        <v>55440</v>
      </c>
      <c r="H36" s="34"/>
      <c r="I36" s="34">
        <f t="shared" si="2"/>
        <v>314160</v>
      </c>
      <c r="J36" s="34"/>
      <c r="K36" s="34"/>
      <c r="L36" s="1526"/>
      <c r="M36" s="17"/>
      <c r="N36" s="30" t="s">
        <v>50</v>
      </c>
      <c r="O36" s="17" t="s">
        <v>49</v>
      </c>
      <c r="Q36" s="10"/>
      <c r="S36" s="10"/>
      <c r="U36" s="10"/>
      <c r="W36" s="10"/>
    </row>
    <row r="37" spans="1:23" ht="14.25" customHeight="1" x14ac:dyDescent="0.2">
      <c r="A37" s="3147"/>
      <c r="B37" s="3153"/>
      <c r="C37" s="13">
        <v>12</v>
      </c>
      <c r="D37" s="35" t="s">
        <v>662</v>
      </c>
      <c r="E37" s="14">
        <v>1</v>
      </c>
      <c r="F37" s="1525"/>
      <c r="G37" s="1525"/>
      <c r="H37" s="34"/>
      <c r="I37" s="34">
        <f t="shared" si="2"/>
        <v>0</v>
      </c>
      <c r="J37" s="34">
        <v>1</v>
      </c>
      <c r="K37" s="34">
        <f>צרפת!S190</f>
        <v>84500</v>
      </c>
      <c r="L37" s="1526"/>
      <c r="M37" s="17"/>
      <c r="N37" s="30" t="s">
        <v>50</v>
      </c>
      <c r="O37" s="17" t="s">
        <v>49</v>
      </c>
      <c r="Q37" s="10"/>
      <c r="S37" s="10"/>
      <c r="U37" s="10"/>
      <c r="W37" s="10"/>
    </row>
    <row r="38" spans="1:23" ht="14.25" customHeight="1" x14ac:dyDescent="0.2">
      <c r="A38" s="3147"/>
      <c r="B38" s="3153"/>
      <c r="C38" s="13">
        <v>13</v>
      </c>
      <c r="D38" s="35" t="s">
        <v>69</v>
      </c>
      <c r="E38" s="14">
        <f>צרפת!M194</f>
        <v>3</v>
      </c>
      <c r="F38" s="1525">
        <f>צרפת!O200</f>
        <v>858993</v>
      </c>
      <c r="G38" s="1525">
        <f>צרפת!P200</f>
        <v>151587</v>
      </c>
      <c r="H38" s="34"/>
      <c r="I38" s="34">
        <f>F38</f>
        <v>858993</v>
      </c>
      <c r="J38" s="34"/>
      <c r="K38" s="34"/>
      <c r="L38" s="1526"/>
      <c r="M38" s="17"/>
      <c r="N38" s="30" t="s">
        <v>50</v>
      </c>
      <c r="O38" s="17" t="s">
        <v>49</v>
      </c>
      <c r="Q38" s="10"/>
      <c r="S38" s="10"/>
      <c r="U38" s="10"/>
      <c r="W38" s="10"/>
    </row>
    <row r="39" spans="1:23" ht="15" customHeight="1" x14ac:dyDescent="0.2">
      <c r="A39" s="3147"/>
      <c r="B39" s="3153"/>
      <c r="C39" s="13">
        <v>14</v>
      </c>
      <c r="D39" s="35" t="s">
        <v>774</v>
      </c>
      <c r="E39" s="14">
        <f>צרפת!M206</f>
        <v>2</v>
      </c>
      <c r="F39" s="1525">
        <f>צרפת!O211</f>
        <v>440368</v>
      </c>
      <c r="G39" s="1525">
        <f>צרפת!P211</f>
        <v>77712</v>
      </c>
      <c r="H39" s="34"/>
      <c r="I39" s="34">
        <f t="shared" si="2"/>
        <v>440368</v>
      </c>
      <c r="J39" s="34"/>
      <c r="K39" s="34"/>
      <c r="L39" s="1526"/>
      <c r="M39" s="17"/>
      <c r="N39" s="30" t="s">
        <v>50</v>
      </c>
      <c r="O39" s="17" t="s">
        <v>49</v>
      </c>
      <c r="Q39" s="10"/>
      <c r="S39" s="10"/>
      <c r="U39" s="10"/>
      <c r="W39" s="10"/>
    </row>
    <row r="40" spans="1:23" ht="15" customHeight="1" x14ac:dyDescent="0.2">
      <c r="A40" s="3147"/>
      <c r="B40" s="1678" t="s">
        <v>26</v>
      </c>
      <c r="C40" s="13">
        <v>15</v>
      </c>
      <c r="D40" s="35" t="s">
        <v>562</v>
      </c>
      <c r="E40" s="14">
        <f>צרפת!M219</f>
        <v>6</v>
      </c>
      <c r="F40" s="1525">
        <f>צרפת!O223</f>
        <v>1010349.9999999995</v>
      </c>
      <c r="G40" s="1525"/>
      <c r="H40" s="34"/>
      <c r="I40" s="34">
        <f t="shared" si="2"/>
        <v>1010349.9999999995</v>
      </c>
      <c r="J40" s="34"/>
      <c r="K40" s="34"/>
      <c r="L40" s="1526"/>
      <c r="M40" s="17"/>
      <c r="N40" s="30" t="s">
        <v>50</v>
      </c>
      <c r="O40" s="17" t="s">
        <v>49</v>
      </c>
      <c r="Q40" s="10"/>
      <c r="S40" s="10"/>
      <c r="U40" s="10"/>
      <c r="W40" s="10"/>
    </row>
    <row r="41" spans="1:23" ht="15" customHeight="1" x14ac:dyDescent="0.2">
      <c r="A41" s="3147"/>
      <c r="B41" s="1678"/>
      <c r="C41" s="13">
        <v>16</v>
      </c>
      <c r="D41" s="35" t="s">
        <v>663</v>
      </c>
      <c r="E41" s="14">
        <f>צרפת!M228</f>
        <v>125</v>
      </c>
      <c r="F41" s="1525">
        <f>צרפת!O235</f>
        <v>351994</v>
      </c>
      <c r="G41" s="1525"/>
      <c r="H41" s="34"/>
      <c r="I41" s="34">
        <f t="shared" si="2"/>
        <v>351994</v>
      </c>
      <c r="J41" s="34">
        <f>צרפת!H228</f>
        <v>6</v>
      </c>
      <c r="K41" s="34">
        <f>צרפת!S235</f>
        <v>21888</v>
      </c>
      <c r="L41" s="1526"/>
      <c r="M41" s="17"/>
      <c r="N41" s="30" t="s">
        <v>50</v>
      </c>
      <c r="O41" s="17" t="s">
        <v>49</v>
      </c>
      <c r="Q41" s="10"/>
      <c r="S41" s="10"/>
      <c r="U41" s="10"/>
      <c r="W41" s="10"/>
    </row>
    <row r="42" spans="1:23" ht="15" customHeight="1" x14ac:dyDescent="0.2">
      <c r="A42" s="3147"/>
      <c r="B42" s="1677"/>
      <c r="C42" s="13">
        <v>17</v>
      </c>
      <c r="D42" s="35" t="s">
        <v>82</v>
      </c>
      <c r="E42" s="14"/>
      <c r="F42" s="1525">
        <f>צרפת!O247</f>
        <v>199400</v>
      </c>
      <c r="G42" s="1525"/>
      <c r="H42" s="1525"/>
      <c r="I42" s="34">
        <f t="shared" si="2"/>
        <v>199400</v>
      </c>
      <c r="J42" s="34"/>
      <c r="K42" s="34"/>
      <c r="L42" s="1526"/>
      <c r="M42" s="17"/>
      <c r="N42" s="66" t="s">
        <v>50</v>
      </c>
      <c r="O42" s="43" t="s">
        <v>49</v>
      </c>
      <c r="Q42" s="10"/>
      <c r="S42" s="10"/>
      <c r="U42" s="10"/>
      <c r="W42" s="10"/>
    </row>
    <row r="43" spans="1:23" ht="14.25" customHeight="1" x14ac:dyDescent="0.2">
      <c r="A43" s="3147"/>
      <c r="B43" s="80"/>
      <c r="C43" s="13">
        <v>18</v>
      </c>
      <c r="D43" s="35" t="s">
        <v>35</v>
      </c>
      <c r="E43" s="14">
        <f>צרפת!M252</f>
        <v>35</v>
      </c>
      <c r="F43" s="1525">
        <f>צרפת!O254</f>
        <v>77000</v>
      </c>
      <c r="G43" s="1525"/>
      <c r="H43" s="34"/>
      <c r="I43" s="34">
        <f t="shared" si="2"/>
        <v>77000</v>
      </c>
      <c r="J43" s="34"/>
      <c r="K43" s="34"/>
      <c r="L43" s="1526"/>
      <c r="M43" s="17"/>
      <c r="N43" s="30" t="s">
        <v>51</v>
      </c>
      <c r="O43" s="17" t="s">
        <v>48</v>
      </c>
      <c r="Q43" s="10"/>
      <c r="S43" s="10"/>
      <c r="U43" s="10"/>
      <c r="W43" s="10"/>
    </row>
    <row r="44" spans="1:23" ht="14.25" customHeight="1" x14ac:dyDescent="0.2">
      <c r="A44" s="3147"/>
      <c r="B44" s="80"/>
      <c r="C44" s="13">
        <v>19</v>
      </c>
      <c r="D44" s="35" t="s">
        <v>574</v>
      </c>
      <c r="E44" s="14">
        <f>צרפת!M261</f>
        <v>1</v>
      </c>
      <c r="F44" s="1525">
        <f>צרפת!O264</f>
        <v>230000</v>
      </c>
      <c r="G44" s="1525"/>
      <c r="H44" s="34"/>
      <c r="I44" s="34">
        <f>F44</f>
        <v>230000</v>
      </c>
      <c r="J44" s="34"/>
      <c r="K44" s="34"/>
      <c r="L44" s="1526"/>
      <c r="M44" s="17"/>
      <c r="N44" s="602"/>
      <c r="O44" s="603"/>
      <c r="Q44" s="10"/>
      <c r="S44" s="10"/>
      <c r="U44" s="10"/>
      <c r="W44" s="10"/>
    </row>
    <row r="45" spans="1:23" ht="14.25" customHeight="1" x14ac:dyDescent="0.2">
      <c r="A45" s="3147"/>
      <c r="B45" s="80"/>
      <c r="C45" s="13">
        <v>20</v>
      </c>
      <c r="D45" s="35" t="s">
        <v>577</v>
      </c>
      <c r="E45" s="14">
        <f>צרפת!M271+צרפת!M272</f>
        <v>10</v>
      </c>
      <c r="F45" s="1525">
        <f>צרפת!O277</f>
        <v>251408</v>
      </c>
      <c r="G45" s="1525"/>
      <c r="H45" s="34"/>
      <c r="I45" s="34">
        <f>F45</f>
        <v>251408</v>
      </c>
      <c r="J45" s="34"/>
      <c r="K45" s="34"/>
      <c r="L45" s="1526"/>
      <c r="M45" s="17"/>
      <c r="N45" s="602"/>
      <c r="O45" s="603"/>
      <c r="Q45" s="10"/>
      <c r="S45" s="10"/>
      <c r="U45" s="10"/>
      <c r="W45" s="10"/>
    </row>
    <row r="46" spans="1:23" ht="15" customHeight="1" x14ac:dyDescent="0.2">
      <c r="A46" s="3147"/>
      <c r="B46" s="1678"/>
      <c r="C46" s="13">
        <v>21</v>
      </c>
      <c r="D46" s="166" t="s">
        <v>60</v>
      </c>
      <c r="E46" s="14"/>
      <c r="F46" s="1525"/>
      <c r="G46" s="1525"/>
      <c r="H46" s="1525"/>
      <c r="I46" s="1525"/>
      <c r="J46" s="1525"/>
      <c r="K46" s="1525"/>
      <c r="L46" s="1528"/>
      <c r="M46" s="43">
        <f>צרפת!S283</f>
        <v>200000</v>
      </c>
      <c r="N46" s="74"/>
      <c r="O46" s="73"/>
      <c r="Q46" s="10"/>
      <c r="S46" s="10"/>
      <c r="U46" s="10"/>
      <c r="W46" s="10"/>
    </row>
    <row r="47" spans="1:23" ht="15.75" thickBot="1" x14ac:dyDescent="0.3">
      <c r="A47" s="3148"/>
      <c r="B47" s="56"/>
      <c r="C47" s="1688"/>
      <c r="D47" s="148" t="s">
        <v>18</v>
      </c>
      <c r="E47" s="1565">
        <f>-F47+צרפת!O285</f>
        <v>0</v>
      </c>
      <c r="F47" s="37">
        <f>SUM(F25:F46)</f>
        <v>14311250.129999999</v>
      </c>
      <c r="G47" s="37">
        <f t="shared" ref="G47:M47" si="3">SUM(G25:G46)</f>
        <v>752168.55</v>
      </c>
      <c r="H47" s="37">
        <f t="shared" si="3"/>
        <v>6500547.9500000002</v>
      </c>
      <c r="I47" s="37">
        <f t="shared" si="3"/>
        <v>7810702.1799999997</v>
      </c>
      <c r="J47" s="37">
        <f t="shared" si="3"/>
        <v>18</v>
      </c>
      <c r="K47" s="37">
        <f t="shared" si="3"/>
        <v>3203888</v>
      </c>
      <c r="L47" s="37">
        <f t="shared" si="3"/>
        <v>0</v>
      </c>
      <c r="M47" s="37">
        <f t="shared" si="3"/>
        <v>1514560</v>
      </c>
      <c r="N47" s="128">
        <f>SUM(N25:N46)</f>
        <v>0</v>
      </c>
      <c r="O47" s="128">
        <f>SUM(O25:O46)</f>
        <v>0</v>
      </c>
      <c r="Q47" s="10"/>
      <c r="R47" s="10"/>
      <c r="S47" s="10"/>
      <c r="U47" s="10"/>
      <c r="W47" s="10"/>
    </row>
    <row r="48" spans="1:23" ht="14.25" x14ac:dyDescent="0.2">
      <c r="A48" s="3127" t="s">
        <v>22</v>
      </c>
      <c r="B48" s="131" t="s">
        <v>55</v>
      </c>
      <c r="C48" s="1689">
        <v>1</v>
      </c>
      <c r="D48" s="19" t="s">
        <v>415</v>
      </c>
      <c r="E48" s="19">
        <f>ארגנטינה!P4</f>
        <v>3</v>
      </c>
      <c r="F48" s="29">
        <f>+ארגנטינה!R9</f>
        <v>575510</v>
      </c>
      <c r="G48" s="29">
        <f>+ארגנטינה!S9</f>
        <v>0</v>
      </c>
      <c r="H48" s="29"/>
      <c r="I48" s="29">
        <f>F48</f>
        <v>575510</v>
      </c>
      <c r="J48" s="29"/>
      <c r="K48" s="29"/>
      <c r="L48" s="1529"/>
      <c r="M48" s="132"/>
      <c r="N48" s="102" t="s">
        <v>50</v>
      </c>
      <c r="O48" s="28" t="s">
        <v>46</v>
      </c>
      <c r="Q48" s="10"/>
      <c r="S48" s="10"/>
      <c r="U48" s="10"/>
      <c r="W48" s="10"/>
    </row>
    <row r="49" spans="1:23" ht="14.25" x14ac:dyDescent="0.2">
      <c r="A49" s="3128"/>
      <c r="B49" s="2780" t="s">
        <v>57</v>
      </c>
      <c r="C49" s="8">
        <v>2</v>
      </c>
      <c r="D49" s="1" t="s">
        <v>57</v>
      </c>
      <c r="E49" s="1">
        <f>ארגנטינה!P18</f>
        <v>35</v>
      </c>
      <c r="F49" s="2">
        <f>ארגנטינה!R31</f>
        <v>691671</v>
      </c>
      <c r="G49" s="2">
        <f>ארגנטינה!S31</f>
        <v>0</v>
      </c>
      <c r="H49" s="2">
        <f>F49</f>
        <v>691671</v>
      </c>
      <c r="I49" s="2"/>
      <c r="J49" s="2"/>
      <c r="K49" s="2"/>
      <c r="L49" s="1530"/>
      <c r="M49" s="3"/>
      <c r="N49" s="103" t="s">
        <v>50</v>
      </c>
      <c r="O49" s="3" t="s">
        <v>46</v>
      </c>
      <c r="Q49" s="10"/>
      <c r="S49" s="10"/>
      <c r="U49" s="10"/>
      <c r="W49" s="10"/>
    </row>
    <row r="50" spans="1:23" ht="15" customHeight="1" x14ac:dyDescent="0.2">
      <c r="A50" s="3128"/>
      <c r="B50" s="3130" t="s">
        <v>6</v>
      </c>
      <c r="C50" s="8">
        <v>3</v>
      </c>
      <c r="D50" s="1" t="s">
        <v>63</v>
      </c>
      <c r="E50" s="1">
        <f>ארגנטינה!P36</f>
        <v>0.6</v>
      </c>
      <c r="F50" s="2">
        <f>ארגנטינה!R39</f>
        <v>165699</v>
      </c>
      <c r="G50" s="2">
        <f>ארגנטינה!S39</f>
        <v>29241</v>
      </c>
      <c r="H50" s="2">
        <f>F50</f>
        <v>165699</v>
      </c>
      <c r="I50" s="2"/>
      <c r="J50" s="2"/>
      <c r="K50" s="2"/>
      <c r="L50" s="1530"/>
      <c r="M50" s="3">
        <f>ארגנטינה!V39</f>
        <v>356000</v>
      </c>
      <c r="N50" s="103"/>
      <c r="O50" s="3"/>
      <c r="Q50" s="10"/>
      <c r="S50" s="10"/>
      <c r="U50" s="10"/>
      <c r="W50" s="10"/>
    </row>
    <row r="51" spans="1:23" ht="15" customHeight="1" x14ac:dyDescent="0.2">
      <c r="A51" s="3128"/>
      <c r="B51" s="3130"/>
      <c r="C51" s="8">
        <v>9</v>
      </c>
      <c r="D51" s="1" t="s">
        <v>456</v>
      </c>
      <c r="E51" s="2">
        <f>ארגנטינה!P95</f>
        <v>1</v>
      </c>
      <c r="F51" s="2">
        <f>ארגנטינה!R98</f>
        <v>153425</v>
      </c>
      <c r="G51" s="2">
        <f>ארגנטינה!S98</f>
        <v>27075</v>
      </c>
      <c r="H51" s="2"/>
      <c r="I51" s="2">
        <f>F51</f>
        <v>153425</v>
      </c>
      <c r="J51" s="2"/>
      <c r="K51" s="2">
        <f>ארגנטינה!V98</f>
        <v>361000</v>
      </c>
      <c r="L51" s="1530"/>
      <c r="M51" s="3"/>
      <c r="N51" s="103"/>
      <c r="O51" s="3"/>
      <c r="Q51" s="10"/>
      <c r="S51" s="10"/>
      <c r="U51" s="10"/>
      <c r="W51" s="10"/>
    </row>
    <row r="52" spans="1:23" ht="14.25" x14ac:dyDescent="0.2">
      <c r="A52" s="3128"/>
      <c r="B52" s="2779"/>
      <c r="C52" s="8">
        <v>4</v>
      </c>
      <c r="D52" s="1" t="s">
        <v>435</v>
      </c>
      <c r="E52" s="1">
        <f>ארגנטינה!P44</f>
        <v>11</v>
      </c>
      <c r="F52" s="2">
        <f>ארגנטינה!R48</f>
        <v>338500</v>
      </c>
      <c r="G52" s="2">
        <f>ארגנטינה!S48</f>
        <v>0</v>
      </c>
      <c r="H52" s="2">
        <f>F52</f>
        <v>338500</v>
      </c>
      <c r="I52" s="2"/>
      <c r="J52" s="2"/>
      <c r="K52" s="2"/>
      <c r="L52" s="1530"/>
      <c r="M52" s="3"/>
      <c r="N52" s="103" t="s">
        <v>50</v>
      </c>
      <c r="O52" s="3"/>
      <c r="Q52" s="10"/>
      <c r="S52" s="10"/>
      <c r="U52" s="10"/>
      <c r="W52" s="10"/>
    </row>
    <row r="53" spans="1:23" ht="14.25" x14ac:dyDescent="0.2">
      <c r="A53" s="3128"/>
      <c r="B53" s="3131" t="s">
        <v>26</v>
      </c>
      <c r="C53" s="8">
        <v>5</v>
      </c>
      <c r="D53" s="1" t="s">
        <v>65</v>
      </c>
      <c r="E53" s="1">
        <f>ארגנטינה!P52</f>
        <v>1</v>
      </c>
      <c r="F53" s="2">
        <f>ארגנטינה!R56</f>
        <v>196222.5</v>
      </c>
      <c r="G53" s="2">
        <f>ארגנטינה!S56</f>
        <v>34627.5</v>
      </c>
      <c r="H53" s="2"/>
      <c r="I53" s="2">
        <f>F53</f>
        <v>196222.5</v>
      </c>
      <c r="J53" s="2"/>
      <c r="K53" s="2"/>
      <c r="L53" s="1530"/>
      <c r="M53" s="3"/>
      <c r="N53" s="103" t="s">
        <v>50</v>
      </c>
      <c r="O53" s="3" t="s">
        <v>47</v>
      </c>
      <c r="Q53" s="10"/>
      <c r="S53" s="10"/>
      <c r="U53" s="10"/>
      <c r="W53" s="10"/>
    </row>
    <row r="54" spans="1:23" ht="14.25" x14ac:dyDescent="0.2">
      <c r="A54" s="3128"/>
      <c r="B54" s="3131"/>
      <c r="C54" s="8">
        <v>6</v>
      </c>
      <c r="D54" s="1" t="s">
        <v>444</v>
      </c>
      <c r="E54" s="1">
        <f>ארגנטינה!P61</f>
        <v>1</v>
      </c>
      <c r="F54" s="2">
        <f>ארגנטינה!R66</f>
        <v>98860.160000000003</v>
      </c>
      <c r="G54" s="2">
        <f>ארגנטינה!S66</f>
        <v>0</v>
      </c>
      <c r="H54" s="2"/>
      <c r="I54" s="2">
        <f>F54</f>
        <v>98860.160000000003</v>
      </c>
      <c r="J54" s="2"/>
      <c r="K54" s="2"/>
      <c r="L54" s="1530"/>
      <c r="M54" s="3"/>
      <c r="N54" s="103"/>
      <c r="O54" s="3"/>
      <c r="Q54" s="10"/>
      <c r="S54" s="10"/>
      <c r="U54" s="10"/>
      <c r="W54" s="10"/>
    </row>
    <row r="55" spans="1:23" ht="14.25" x14ac:dyDescent="0.2">
      <c r="A55" s="3128"/>
      <c r="B55" s="2780" t="s">
        <v>28</v>
      </c>
      <c r="C55" s="8">
        <v>7</v>
      </c>
      <c r="D55" s="1" t="s">
        <v>448</v>
      </c>
      <c r="E55" s="1">
        <f>ארגנטינה!P73</f>
        <v>1</v>
      </c>
      <c r="F55" s="2">
        <f>ארגנטינה!R77</f>
        <v>164616</v>
      </c>
      <c r="G55" s="2">
        <f>ארגנטינה!S77</f>
        <v>26220</v>
      </c>
      <c r="H55" s="2">
        <f>F55</f>
        <v>164616</v>
      </c>
      <c r="I55" s="2"/>
      <c r="J55" s="2"/>
      <c r="K55" s="2"/>
      <c r="L55" s="1530"/>
      <c r="M55" s="3">
        <f>ארגנטינה!V77</f>
        <v>123780</v>
      </c>
      <c r="N55" s="103" t="s">
        <v>51</v>
      </c>
      <c r="O55" s="3" t="s">
        <v>48</v>
      </c>
      <c r="Q55" s="10"/>
      <c r="S55" s="10"/>
      <c r="U55" s="10"/>
      <c r="W55" s="10"/>
    </row>
    <row r="56" spans="1:23" ht="14.25" x14ac:dyDescent="0.2">
      <c r="A56" s="3128"/>
      <c r="B56" s="2780" t="s">
        <v>29</v>
      </c>
      <c r="C56" s="8">
        <v>8</v>
      </c>
      <c r="D56" s="1" t="s">
        <v>5</v>
      </c>
      <c r="E56" s="1">
        <f>ארגנטינה!P82</f>
        <v>1</v>
      </c>
      <c r="F56" s="2">
        <f>ארגנטינה!R90</f>
        <v>180310</v>
      </c>
      <c r="G56" s="2">
        <f>ארגנטינה!S90</f>
        <v>0</v>
      </c>
      <c r="H56" s="2"/>
      <c r="I56" s="2">
        <f>F56</f>
        <v>180310</v>
      </c>
      <c r="J56" s="2"/>
      <c r="K56" s="2"/>
      <c r="L56" s="1530"/>
      <c r="M56" s="3"/>
      <c r="N56" s="104"/>
      <c r="O56" s="71"/>
      <c r="Q56" s="10"/>
      <c r="S56" s="10"/>
      <c r="U56" s="10"/>
      <c r="W56" s="10"/>
    </row>
    <row r="57" spans="1:23" ht="14.25" x14ac:dyDescent="0.2">
      <c r="A57" s="3128"/>
      <c r="B57" s="2780"/>
      <c r="C57" s="8">
        <v>10</v>
      </c>
      <c r="D57" s="1" t="s">
        <v>872</v>
      </c>
      <c r="E57" s="1">
        <f>ארגנטינה!P122</f>
        <v>2</v>
      </c>
      <c r="F57" s="2">
        <f>ארגנטינה!R128</f>
        <v>182176</v>
      </c>
      <c r="G57" s="2">
        <f>ארגנטינה!S128</f>
        <v>0</v>
      </c>
      <c r="H57" s="2">
        <f>F57</f>
        <v>182176</v>
      </c>
      <c r="I57" s="2"/>
      <c r="J57" s="2"/>
      <c r="K57" s="2"/>
      <c r="L57" s="1530"/>
      <c r="M57" s="3"/>
      <c r="N57" s="104"/>
      <c r="O57" s="71"/>
      <c r="Q57" s="10"/>
      <c r="S57" s="10"/>
      <c r="U57" s="10"/>
      <c r="W57" s="10"/>
    </row>
    <row r="58" spans="1:23" ht="14.25" x14ac:dyDescent="0.2">
      <c r="A58" s="3128"/>
      <c r="B58" s="2780"/>
      <c r="C58" s="8">
        <v>11</v>
      </c>
      <c r="D58" s="1" t="str">
        <f>ארגנטינה!O103</f>
        <v>תגבור שליחויות קצרות לדרום אמריקה</v>
      </c>
      <c r="E58" s="1">
        <f>ארגנטינה!P105</f>
        <v>8</v>
      </c>
      <c r="F58" s="2">
        <f>ארגנטינה!R108</f>
        <v>165984</v>
      </c>
      <c r="G58" s="2">
        <f>ארגנטינה!S108</f>
        <v>0</v>
      </c>
      <c r="H58" s="2"/>
      <c r="I58" s="2">
        <f>F58</f>
        <v>165984</v>
      </c>
      <c r="J58" s="2"/>
      <c r="K58" s="2"/>
      <c r="L58" s="1530"/>
      <c r="M58" s="3"/>
      <c r="N58" s="104"/>
      <c r="O58" s="71"/>
      <c r="Q58" s="10"/>
      <c r="S58" s="10"/>
      <c r="U58" s="10"/>
      <c r="W58" s="10"/>
    </row>
    <row r="59" spans="1:23" ht="14.25" x14ac:dyDescent="0.2">
      <c r="A59" s="3128"/>
      <c r="B59" s="2780"/>
      <c r="C59" s="8">
        <v>12</v>
      </c>
      <c r="D59" s="1" t="str">
        <f>ארגנטינה!O111</f>
        <v>שווק ופרסום חומרים עידוד עלייה</v>
      </c>
      <c r="E59" s="1"/>
      <c r="F59" s="2">
        <f>ארגנטינה!R116</f>
        <v>98800</v>
      </c>
      <c r="G59" s="2"/>
      <c r="H59" s="2"/>
      <c r="I59" s="2">
        <f>F59</f>
        <v>98800</v>
      </c>
      <c r="J59" s="2"/>
      <c r="K59" s="2"/>
      <c r="L59" s="1530"/>
      <c r="M59" s="3"/>
      <c r="N59" s="104"/>
      <c r="O59" s="71"/>
      <c r="Q59" s="10"/>
      <c r="S59" s="10"/>
      <c r="U59" s="10"/>
      <c r="W59" s="10"/>
    </row>
    <row r="60" spans="1:23" ht="14.25" x14ac:dyDescent="0.2">
      <c r="A60" s="3128"/>
      <c r="B60" s="2780"/>
      <c r="C60" s="8">
        <v>13</v>
      </c>
      <c r="D60" s="1" t="s">
        <v>60</v>
      </c>
      <c r="E60" s="1"/>
      <c r="F60" s="2"/>
      <c r="G60" s="2"/>
      <c r="H60" s="2"/>
      <c r="I60" s="2"/>
      <c r="J60" s="2"/>
      <c r="K60" s="2"/>
      <c r="L60" s="1530"/>
      <c r="M60" s="3">
        <f>ארגנטינה!V135</f>
        <v>200000</v>
      </c>
      <c r="N60" s="104"/>
      <c r="O60" s="71"/>
      <c r="Q60" s="10"/>
      <c r="S60" s="10"/>
      <c r="U60" s="10"/>
      <c r="W60" s="10"/>
    </row>
    <row r="61" spans="1:23" ht="15.75" thickBot="1" x14ac:dyDescent="0.3">
      <c r="A61" s="3129"/>
      <c r="B61" s="133"/>
      <c r="C61" s="1690"/>
      <c r="D61" s="147" t="s">
        <v>24</v>
      </c>
      <c r="E61" s="1566">
        <f>-F61+ארגנטינה!R137</f>
        <v>0</v>
      </c>
      <c r="F61" s="97">
        <f t="shared" ref="F61:M61" si="4">SUM(F48:F60)</f>
        <v>3011773.66</v>
      </c>
      <c r="G61" s="97">
        <f t="shared" si="4"/>
        <v>117163.5</v>
      </c>
      <c r="H61" s="97">
        <f t="shared" si="4"/>
        <v>1542662</v>
      </c>
      <c r="I61" s="97">
        <f t="shared" si="4"/>
        <v>1469111.6600000001</v>
      </c>
      <c r="J61" s="97">
        <f t="shared" si="4"/>
        <v>0</v>
      </c>
      <c r="K61" s="97">
        <f t="shared" si="4"/>
        <v>361000</v>
      </c>
      <c r="L61" s="97">
        <f t="shared" si="4"/>
        <v>0</v>
      </c>
      <c r="M61" s="33">
        <f t="shared" si="4"/>
        <v>679780</v>
      </c>
      <c r="N61" s="105"/>
      <c r="O61" s="33"/>
      <c r="Q61" s="10"/>
      <c r="R61" s="10"/>
      <c r="S61" s="10"/>
      <c r="U61" s="10"/>
      <c r="W61" s="10"/>
    </row>
    <row r="62" spans="1:23" ht="15" customHeight="1" x14ac:dyDescent="0.2">
      <c r="A62" s="3115" t="s">
        <v>23</v>
      </c>
      <c r="B62" s="40" t="s">
        <v>55</v>
      </c>
      <c r="C62" s="39">
        <v>1</v>
      </c>
      <c r="D62" s="41" t="s">
        <v>415</v>
      </c>
      <c r="E62" s="41">
        <f>ברזיל!P4</f>
        <v>2</v>
      </c>
      <c r="F62" s="1531">
        <f>ברזיל!R10</f>
        <v>249052</v>
      </c>
      <c r="G62" s="1531">
        <f>ברזיל!S10</f>
        <v>0</v>
      </c>
      <c r="H62" s="1531"/>
      <c r="I62" s="1531">
        <f>F62</f>
        <v>249052</v>
      </c>
      <c r="J62" s="1531"/>
      <c r="K62" s="1531">
        <v>0</v>
      </c>
      <c r="L62" s="1532"/>
      <c r="M62" s="1533">
        <v>0</v>
      </c>
      <c r="N62" s="61" t="s">
        <v>50</v>
      </c>
      <c r="O62" s="25" t="s">
        <v>46</v>
      </c>
      <c r="Q62" s="10"/>
      <c r="S62" s="10"/>
      <c r="U62" s="10"/>
      <c r="W62" s="10"/>
    </row>
    <row r="63" spans="1:23" ht="15" customHeight="1" x14ac:dyDescent="0.2">
      <c r="A63" s="3116"/>
      <c r="B63" s="2781" t="s">
        <v>57</v>
      </c>
      <c r="C63" s="26">
        <v>2</v>
      </c>
      <c r="D63" s="23" t="s">
        <v>397</v>
      </c>
      <c r="E63" s="23">
        <f>ברזיל!P19</f>
        <v>11</v>
      </c>
      <c r="F63" s="1534">
        <f>ברזיל!R32</f>
        <v>266648</v>
      </c>
      <c r="G63" s="1534">
        <f>ברזיל!S32</f>
        <v>0</v>
      </c>
      <c r="H63" s="1534">
        <f>F63</f>
        <v>266648</v>
      </c>
      <c r="I63" s="1534"/>
      <c r="J63" s="1534"/>
      <c r="K63" s="1534"/>
      <c r="L63" s="1535"/>
      <c r="M63" s="1536"/>
      <c r="N63" s="61" t="s">
        <v>50</v>
      </c>
      <c r="O63" s="25" t="s">
        <v>46</v>
      </c>
      <c r="Q63" s="10"/>
      <c r="S63" s="10"/>
      <c r="U63" s="10"/>
      <c r="W63" s="10"/>
    </row>
    <row r="64" spans="1:23" ht="15" customHeight="1" x14ac:dyDescent="0.2">
      <c r="A64" s="3116"/>
      <c r="B64" s="2781"/>
      <c r="C64" s="26">
        <v>3</v>
      </c>
      <c r="D64" s="23" t="s">
        <v>62</v>
      </c>
      <c r="E64" s="23">
        <f>ברזיל!P37</f>
        <v>5</v>
      </c>
      <c r="F64" s="1534">
        <f>ברזיל!R41</f>
        <v>154200</v>
      </c>
      <c r="G64" s="1534">
        <f>ברזיל!S41</f>
        <v>0</v>
      </c>
      <c r="H64" s="1534">
        <f>F64</f>
        <v>154200</v>
      </c>
      <c r="I64" s="1534"/>
      <c r="J64" s="1534"/>
      <c r="K64" s="1534"/>
      <c r="L64" s="1535"/>
      <c r="M64" s="1536"/>
      <c r="N64" s="61"/>
      <c r="O64" s="25"/>
      <c r="Q64" s="10"/>
      <c r="S64" s="10"/>
      <c r="U64" s="10"/>
      <c r="W64" s="10"/>
    </row>
    <row r="65" spans="1:23" ht="15" customHeight="1" x14ac:dyDescent="0.2">
      <c r="A65" s="3116"/>
      <c r="B65" s="3118" t="s">
        <v>6</v>
      </c>
      <c r="C65" s="26">
        <v>4</v>
      </c>
      <c r="D65" s="23" t="s">
        <v>63</v>
      </c>
      <c r="E65" s="23">
        <f>ברזיל!P46</f>
        <v>0.6</v>
      </c>
      <c r="F65" s="1534">
        <f>ברזיל!R49</f>
        <v>132600</v>
      </c>
      <c r="G65" s="1534">
        <f>ברזיל!S49</f>
        <v>23400</v>
      </c>
      <c r="H65" s="1534">
        <f>F65</f>
        <v>132600</v>
      </c>
      <c r="I65" s="1534"/>
      <c r="J65" s="1534"/>
      <c r="K65" s="1534"/>
      <c r="L65" s="1535"/>
      <c r="M65" s="1536">
        <f>ברזיל!V49</f>
        <v>66600</v>
      </c>
      <c r="N65" s="61" t="s">
        <v>50</v>
      </c>
      <c r="O65" s="25"/>
      <c r="Q65" s="10"/>
      <c r="S65" s="10"/>
      <c r="U65" s="10"/>
      <c r="W65" s="10"/>
    </row>
    <row r="66" spans="1:23" ht="15" customHeight="1" x14ac:dyDescent="0.2">
      <c r="A66" s="3116"/>
      <c r="B66" s="3118"/>
      <c r="C66" s="26">
        <v>9</v>
      </c>
      <c r="D66" s="23" t="s">
        <v>64</v>
      </c>
      <c r="E66" s="23">
        <f>ברזיל!P91+ברזיל!P92*0.5</f>
        <v>1.5</v>
      </c>
      <c r="F66" s="1534">
        <f>ברזיל!R95</f>
        <v>188955</v>
      </c>
      <c r="G66" s="1534">
        <f>ברזיל!S95</f>
        <v>33345</v>
      </c>
      <c r="H66" s="1534"/>
      <c r="I66" s="1534">
        <f>F66</f>
        <v>188955</v>
      </c>
      <c r="J66" s="1534"/>
      <c r="K66" s="1534">
        <f>ברזיל!V95</f>
        <v>342000</v>
      </c>
      <c r="L66" s="1535"/>
      <c r="M66" s="1536"/>
      <c r="N66" s="61" t="s">
        <v>50</v>
      </c>
      <c r="O66" s="25" t="s">
        <v>47</v>
      </c>
      <c r="Q66" s="10"/>
      <c r="S66" s="10"/>
      <c r="U66" s="10"/>
      <c r="W66" s="10"/>
    </row>
    <row r="67" spans="1:23" ht="14.25" x14ac:dyDescent="0.2">
      <c r="A67" s="3116"/>
      <c r="B67" s="3118" t="s">
        <v>26</v>
      </c>
      <c r="C67" s="26">
        <v>5</v>
      </c>
      <c r="D67" s="23" t="s">
        <v>65</v>
      </c>
      <c r="E67" s="23">
        <f>ברזיל!P55</f>
        <v>1</v>
      </c>
      <c r="F67" s="1534">
        <f>ברזיל!R59</f>
        <v>208335</v>
      </c>
      <c r="G67" s="1534">
        <f>ברזיל!S59</f>
        <v>36765</v>
      </c>
      <c r="H67" s="1534"/>
      <c r="I67" s="1534">
        <f>F67</f>
        <v>208335</v>
      </c>
      <c r="J67" s="1534"/>
      <c r="K67" s="1534"/>
      <c r="L67" s="1535"/>
      <c r="M67" s="1536"/>
      <c r="N67" s="62"/>
      <c r="O67" s="57"/>
      <c r="Q67" s="10"/>
      <c r="S67" s="10"/>
      <c r="U67" s="10"/>
      <c r="W67" s="10"/>
    </row>
    <row r="68" spans="1:23" ht="14.25" x14ac:dyDescent="0.2">
      <c r="A68" s="3116"/>
      <c r="B68" s="3118"/>
      <c r="C68" s="26">
        <v>6</v>
      </c>
      <c r="D68" s="23" t="s">
        <v>444</v>
      </c>
      <c r="E68" s="23">
        <f>ברזיל!P64</f>
        <v>1</v>
      </c>
      <c r="F68" s="1534">
        <f>ברזיל!R70</f>
        <v>100000.16</v>
      </c>
      <c r="G68" s="1534">
        <f>ברזיל!S70</f>
        <v>0</v>
      </c>
      <c r="H68" s="1534"/>
      <c r="I68" s="1534">
        <f>F68</f>
        <v>100000.16</v>
      </c>
      <c r="J68" s="1534"/>
      <c r="K68" s="1534"/>
      <c r="L68" s="1535"/>
      <c r="M68" s="1536"/>
      <c r="N68" s="62"/>
      <c r="O68" s="57"/>
      <c r="Q68" s="10"/>
      <c r="S68" s="10"/>
      <c r="U68" s="10"/>
      <c r="W68" s="10"/>
    </row>
    <row r="69" spans="1:23" ht="14.25" x14ac:dyDescent="0.2">
      <c r="A69" s="3116"/>
      <c r="B69" s="2781" t="s">
        <v>29</v>
      </c>
      <c r="C69" s="26">
        <v>7</v>
      </c>
      <c r="D69" s="23" t="s">
        <v>5</v>
      </c>
      <c r="E69" s="23">
        <f>ברזיל!P77</f>
        <v>1</v>
      </c>
      <c r="F69" s="1534">
        <f>ברזיל!R85</f>
        <v>167428</v>
      </c>
      <c r="G69" s="1534">
        <f>ברזיל!S85</f>
        <v>0</v>
      </c>
      <c r="H69" s="1534"/>
      <c r="I69" s="1534">
        <f>F69</f>
        <v>167428</v>
      </c>
      <c r="J69" s="1534"/>
      <c r="K69" s="1534"/>
      <c r="L69" s="1535"/>
      <c r="M69" s="1536"/>
      <c r="N69" s="62"/>
      <c r="O69" s="57"/>
      <c r="Q69" s="10"/>
      <c r="S69" s="10"/>
      <c r="U69" s="10"/>
      <c r="W69" s="10"/>
    </row>
    <row r="70" spans="1:23" ht="14.25" x14ac:dyDescent="0.2">
      <c r="A70" s="3116"/>
      <c r="B70" s="2781"/>
      <c r="C70" s="26">
        <v>8</v>
      </c>
      <c r="D70" s="23" t="str">
        <f>ברזיל!O99</f>
        <v>שווק ופרסום חומרים עידוד עלייה</v>
      </c>
      <c r="E70" s="23"/>
      <c r="F70" s="1534">
        <f>ארגנטינה!R116</f>
        <v>98800</v>
      </c>
      <c r="G70" s="1534"/>
      <c r="H70" s="1534"/>
      <c r="I70" s="1534">
        <f>F70</f>
        <v>98800</v>
      </c>
      <c r="J70" s="1534"/>
      <c r="K70" s="1534"/>
      <c r="L70" s="1535"/>
      <c r="M70" s="1536"/>
      <c r="N70" s="62"/>
      <c r="O70" s="57"/>
      <c r="Q70" s="10"/>
      <c r="S70" s="10"/>
      <c r="U70" s="10"/>
      <c r="W70" s="10"/>
    </row>
    <row r="71" spans="1:23" ht="14.25" x14ac:dyDescent="0.2">
      <c r="A71" s="3116"/>
      <c r="B71" s="2781"/>
      <c r="C71" s="26">
        <v>9</v>
      </c>
      <c r="D71" s="23" t="s">
        <v>60</v>
      </c>
      <c r="E71" s="23"/>
      <c r="F71" s="1534"/>
      <c r="G71" s="1534"/>
      <c r="H71" s="1534"/>
      <c r="I71" s="1534"/>
      <c r="J71" s="1534"/>
      <c r="K71" s="1534"/>
      <c r="L71" s="1535"/>
      <c r="M71" s="1536">
        <f>ברזיל!V110</f>
        <v>20000</v>
      </c>
      <c r="N71" s="62"/>
      <c r="O71" s="57"/>
      <c r="Q71" s="10"/>
      <c r="S71" s="10"/>
      <c r="U71" s="10"/>
      <c r="W71" s="10"/>
    </row>
    <row r="72" spans="1:23" ht="15.75" thickBot="1" x14ac:dyDescent="0.3">
      <c r="A72" s="3117"/>
      <c r="B72" s="79"/>
      <c r="C72" s="2783"/>
      <c r="D72" s="146" t="s">
        <v>786</v>
      </c>
      <c r="E72" s="1657">
        <f>-F72+ברזיל!R115</f>
        <v>0</v>
      </c>
      <c r="F72" s="1537">
        <f t="shared" ref="F72:O72" si="5">SUM(F62:F71)</f>
        <v>1566018.16</v>
      </c>
      <c r="G72" s="1537">
        <f t="shared" si="5"/>
        <v>93510</v>
      </c>
      <c r="H72" s="1537">
        <f t="shared" si="5"/>
        <v>553448</v>
      </c>
      <c r="I72" s="1537">
        <f t="shared" si="5"/>
        <v>1012570.16</v>
      </c>
      <c r="J72" s="1537">
        <f t="shared" si="5"/>
        <v>0</v>
      </c>
      <c r="K72" s="1537">
        <f t="shared" si="5"/>
        <v>342000</v>
      </c>
      <c r="L72" s="1537">
        <f t="shared" si="5"/>
        <v>0</v>
      </c>
      <c r="M72" s="1537">
        <f t="shared" si="5"/>
        <v>86600</v>
      </c>
      <c r="N72" s="1537">
        <f t="shared" si="5"/>
        <v>0</v>
      </c>
      <c r="O72" s="1537">
        <f t="shared" si="5"/>
        <v>0</v>
      </c>
      <c r="Q72" s="10"/>
      <c r="R72" s="10"/>
      <c r="S72" s="10"/>
      <c r="U72" s="10"/>
      <c r="W72" s="10"/>
    </row>
    <row r="73" spans="1:23" ht="14.25" x14ac:dyDescent="0.2">
      <c r="A73" s="3119" t="s">
        <v>870</v>
      </c>
      <c r="B73" s="140" t="s">
        <v>57</v>
      </c>
      <c r="C73" s="125">
        <v>1</v>
      </c>
      <c r="D73" s="15" t="s">
        <v>397</v>
      </c>
      <c r="E73" s="15">
        <f>אנגליה!M8</f>
        <v>20</v>
      </c>
      <c r="F73" s="42">
        <f>אנגליה!O22</f>
        <v>822236.14999999991</v>
      </c>
      <c r="G73" s="42">
        <f>אנגליה!P22</f>
        <v>52286.1</v>
      </c>
      <c r="H73" s="42">
        <f>F73</f>
        <v>822236.14999999991</v>
      </c>
      <c r="I73" s="42"/>
      <c r="J73" s="42"/>
      <c r="K73" s="42"/>
      <c r="L73" s="42"/>
      <c r="M73" s="142">
        <f>אנגליה!S22</f>
        <v>230186.32</v>
      </c>
      <c r="N73" s="106" t="s">
        <v>50</v>
      </c>
      <c r="O73" s="42" t="s">
        <v>46</v>
      </c>
      <c r="Q73" s="10"/>
      <c r="S73" s="10"/>
      <c r="U73" s="10"/>
      <c r="W73" s="10"/>
    </row>
    <row r="74" spans="1:23" ht="14.25" hidden="1" x14ac:dyDescent="0.2">
      <c r="A74" s="3120"/>
      <c r="B74" s="2782"/>
      <c r="C74" s="13">
        <v>2</v>
      </c>
      <c r="D74" s="14" t="s">
        <v>61</v>
      </c>
      <c r="E74" s="14">
        <f>אנגליה!M27</f>
        <v>0</v>
      </c>
      <c r="F74" s="1527">
        <f>אנגליה!O31</f>
        <v>0</v>
      </c>
      <c r="G74" s="1527">
        <f>אנגליה!P31</f>
        <v>0</v>
      </c>
      <c r="H74" s="1527">
        <f>F74</f>
        <v>0</v>
      </c>
      <c r="I74" s="1527"/>
      <c r="J74" s="1527"/>
      <c r="K74" s="1527"/>
      <c r="L74" s="1527"/>
      <c r="M74" s="112"/>
      <c r="N74" s="107"/>
      <c r="O74" s="58"/>
      <c r="Q74" s="10"/>
      <c r="S74" s="10"/>
      <c r="U74" s="10"/>
      <c r="W74" s="10"/>
    </row>
    <row r="75" spans="1:23" ht="14.25" x14ac:dyDescent="0.2">
      <c r="A75" s="3120"/>
      <c r="B75" s="2782" t="s">
        <v>29</v>
      </c>
      <c r="C75" s="13">
        <v>3</v>
      </c>
      <c r="D75" s="14" t="s">
        <v>62</v>
      </c>
      <c r="E75" s="14">
        <f>אנגליה!M37</f>
        <v>8</v>
      </c>
      <c r="F75" s="1527">
        <f>אנגליה!O40</f>
        <v>207696</v>
      </c>
      <c r="G75" s="1527">
        <f>אנגליה!P40</f>
        <v>0</v>
      </c>
      <c r="H75" s="1527">
        <f>F75</f>
        <v>207696</v>
      </c>
      <c r="I75" s="1527"/>
      <c r="J75" s="1527"/>
      <c r="K75" s="1527"/>
      <c r="L75" s="1527"/>
      <c r="M75" s="112"/>
      <c r="N75" s="107"/>
      <c r="O75" s="58"/>
      <c r="Q75" s="10"/>
      <c r="S75" s="10"/>
      <c r="U75" s="10"/>
      <c r="W75" s="10"/>
    </row>
    <row r="76" spans="1:23" ht="14.25" x14ac:dyDescent="0.2">
      <c r="A76" s="3120"/>
      <c r="B76" s="2782"/>
      <c r="C76" s="13">
        <v>4</v>
      </c>
      <c r="D76" s="14" t="str">
        <f>אנגליה!L43</f>
        <v xml:space="preserve">עידוד עלייה בקהילות </v>
      </c>
      <c r="E76" s="14">
        <f>אנגליה!M45</f>
        <v>10</v>
      </c>
      <c r="F76" s="1527">
        <f>אנגליה!O50</f>
        <v>98000</v>
      </c>
      <c r="G76" s="1527">
        <f>אנגליה!P50</f>
        <v>0</v>
      </c>
      <c r="H76" s="1527">
        <f>F76</f>
        <v>98000</v>
      </c>
      <c r="I76" s="1527"/>
      <c r="J76" s="1527"/>
      <c r="K76" s="1527"/>
      <c r="L76" s="1527"/>
      <c r="M76" s="112"/>
      <c r="N76" s="107"/>
      <c r="O76" s="58"/>
      <c r="Q76" s="10"/>
      <c r="S76" s="10"/>
      <c r="U76" s="10"/>
      <c r="W76" s="10"/>
    </row>
    <row r="77" spans="1:23" ht="14.25" x14ac:dyDescent="0.2">
      <c r="A77" s="3120"/>
      <c r="B77" s="2782"/>
      <c r="C77" s="13">
        <v>5</v>
      </c>
      <c r="D77" s="14" t="str">
        <f>אנגליה!L53</f>
        <v xml:space="preserve">ירידי עידוד עלייה  </v>
      </c>
      <c r="E77" s="14">
        <f>אנגליה!M55</f>
        <v>1</v>
      </c>
      <c r="F77" s="1527">
        <f>אנגליה!O60</f>
        <v>151658</v>
      </c>
      <c r="G77" s="1527">
        <f>אנגליה!P60</f>
        <v>0</v>
      </c>
      <c r="H77" s="1527"/>
      <c r="I77" s="1527">
        <f>F77</f>
        <v>151658</v>
      </c>
      <c r="J77" s="1527"/>
      <c r="K77" s="1527"/>
      <c r="L77" s="1527"/>
      <c r="M77" s="112"/>
      <c r="N77" s="107"/>
      <c r="O77" s="58"/>
      <c r="Q77" s="10"/>
      <c r="S77" s="10"/>
      <c r="U77" s="10"/>
      <c r="W77" s="10"/>
    </row>
    <row r="78" spans="1:23" s="208" customFormat="1" ht="15.75" thickBot="1" x14ac:dyDescent="0.3">
      <c r="A78" s="3120"/>
      <c r="B78" s="2787"/>
      <c r="C78" s="13">
        <v>6</v>
      </c>
      <c r="D78" s="14" t="str">
        <f>אנגליה!L70</f>
        <v xml:space="preserve"> שליח נייד </v>
      </c>
      <c r="E78" s="14">
        <f>1</f>
        <v>1</v>
      </c>
      <c r="F78" s="1527">
        <f>אנגליה!O78</f>
        <v>393273</v>
      </c>
      <c r="G78" s="1527">
        <f>אנגליה!P78</f>
        <v>52623</v>
      </c>
      <c r="H78" s="1527"/>
      <c r="I78" s="1527">
        <f>F78</f>
        <v>393273</v>
      </c>
      <c r="J78" s="1527"/>
      <c r="K78" s="1527"/>
      <c r="L78" s="1527"/>
      <c r="M78" s="112"/>
      <c r="N78" s="2788"/>
      <c r="O78" s="2788"/>
      <c r="P78" s="363"/>
      <c r="Q78" s="10"/>
      <c r="S78" s="10"/>
      <c r="U78" s="10"/>
      <c r="W78" s="10"/>
    </row>
    <row r="79" spans="1:23" ht="14.25" x14ac:dyDescent="0.2">
      <c r="A79" s="3120"/>
      <c r="B79" s="2782"/>
      <c r="C79" s="13">
        <v>7</v>
      </c>
      <c r="D79" s="14" t="s">
        <v>60</v>
      </c>
      <c r="E79" s="14"/>
      <c r="F79" s="1527"/>
      <c r="G79" s="1527"/>
      <c r="H79" s="1527"/>
      <c r="I79" s="1527"/>
      <c r="J79" s="1527"/>
      <c r="K79" s="1527"/>
      <c r="L79" s="1527"/>
      <c r="M79" s="112">
        <v>150000</v>
      </c>
      <c r="N79" s="107"/>
      <c r="O79" s="58"/>
      <c r="Q79" s="10"/>
      <c r="S79" s="10"/>
      <c r="U79" s="10"/>
      <c r="W79" s="10"/>
    </row>
    <row r="80" spans="1:23" ht="15.75" thickBot="1" x14ac:dyDescent="0.3">
      <c r="A80" s="3154"/>
      <c r="B80" s="1654"/>
      <c r="C80" s="2759"/>
      <c r="D80" s="635" t="s">
        <v>42</v>
      </c>
      <c r="E80" s="1637">
        <f>-F80+אנגליה!O86</f>
        <v>0</v>
      </c>
      <c r="F80" s="37">
        <f>SUM(F73:F79)</f>
        <v>1672863.15</v>
      </c>
      <c r="G80" s="37">
        <f>SUM(G73:G79)</f>
        <v>104909.1</v>
      </c>
      <c r="H80" s="37">
        <f>SUM(H73:H79)</f>
        <v>1127932.1499999999</v>
      </c>
      <c r="I80" s="37">
        <f>SUM(I73:I79)</f>
        <v>544931</v>
      </c>
      <c r="J80" s="37"/>
      <c r="K80" s="37">
        <f>SUM(K73:K79)</f>
        <v>0</v>
      </c>
      <c r="L80" s="37"/>
      <c r="M80" s="20">
        <f>SUM(M73:M79)</f>
        <v>380186.32</v>
      </c>
      <c r="N80" s="1562">
        <f>SUM(N73:N79)</f>
        <v>0</v>
      </c>
      <c r="O80" s="173">
        <f>SUM(O73:O79)</f>
        <v>0</v>
      </c>
      <c r="Q80" s="10"/>
      <c r="S80" s="10"/>
      <c r="U80" s="10"/>
      <c r="W80" s="10"/>
    </row>
    <row r="81" spans="1:23" ht="15.75" thickBot="1" x14ac:dyDescent="0.3">
      <c r="A81" s="3122" t="s">
        <v>702</v>
      </c>
      <c r="B81" s="649"/>
      <c r="C81" s="2784">
        <v>1</v>
      </c>
      <c r="D81" s="650" t="str">
        <f>'צ.אמריקה '!L2</f>
        <v xml:space="preserve">מרכזי הכנה לעליה - אולפנים </v>
      </c>
      <c r="E81" s="650">
        <f>'צ.אמריקה '!M4</f>
        <v>25</v>
      </c>
      <c r="F81" s="1540">
        <f>'צ.אמריקה '!O22</f>
        <v>578215.5</v>
      </c>
      <c r="G81" s="1540">
        <f>'צ.אמריקה '!P22</f>
        <v>0</v>
      </c>
      <c r="H81" s="1540">
        <f>F81</f>
        <v>578215.5</v>
      </c>
      <c r="I81" s="1540"/>
      <c r="J81" s="1541"/>
      <c r="K81" s="1541"/>
      <c r="L81" s="1541"/>
      <c r="M81" s="2841"/>
      <c r="N81" s="59"/>
      <c r="O81" s="59"/>
      <c r="Q81" s="10"/>
      <c r="S81" s="10"/>
      <c r="U81" s="10"/>
      <c r="W81" s="10"/>
    </row>
    <row r="82" spans="1:23" ht="15.75" thickBot="1" x14ac:dyDescent="0.3">
      <c r="A82" s="3123"/>
      <c r="B82" s="447"/>
      <c r="C82" s="1691">
        <v>2</v>
      </c>
      <c r="D82" s="648" t="str">
        <f>'צ.אמריקה '!L36</f>
        <v xml:space="preserve"> (קבוצות)סמינר לעידוד עליה </v>
      </c>
      <c r="E82" s="647">
        <f>'צ.אמריקה '!M38</f>
        <v>18</v>
      </c>
      <c r="F82" s="1542">
        <f>'צ.אמריקה '!O41</f>
        <v>147060</v>
      </c>
      <c r="G82" s="1542">
        <f>'צ.אמריקה '!P41</f>
        <v>0</v>
      </c>
      <c r="H82" s="1542">
        <f t="shared" ref="H82:H87" si="6">F82</f>
        <v>147060</v>
      </c>
      <c r="I82" s="1542"/>
      <c r="J82" s="1543"/>
      <c r="K82" s="1543"/>
      <c r="L82" s="1543"/>
      <c r="M82" s="2842"/>
      <c r="N82" s="59"/>
      <c r="O82" s="59"/>
      <c r="Q82" s="10"/>
      <c r="S82" s="10"/>
      <c r="U82" s="10"/>
      <c r="W82" s="10"/>
    </row>
    <row r="83" spans="1:23" ht="15.75" thickBot="1" x14ac:dyDescent="0.3">
      <c r="A83" s="3123"/>
      <c r="B83" s="447"/>
      <c r="C83" s="1691">
        <v>3</v>
      </c>
      <c r="D83" s="647" t="str">
        <f>'צ.אמריקה '!L44</f>
        <v>רכז  עידוד עלייה ומרכזי הכנה לעלייה</v>
      </c>
      <c r="E83" s="1655">
        <f>'צ.אמריקה '!M46</f>
        <v>1.5</v>
      </c>
      <c r="F83" s="1542">
        <f>'צ.אמריקה '!O49</f>
        <v>256785</v>
      </c>
      <c r="G83" s="1542">
        <f>'צ.אמריקה '!P49</f>
        <v>45315</v>
      </c>
      <c r="H83" s="1542">
        <f t="shared" si="6"/>
        <v>256785</v>
      </c>
      <c r="I83" s="1542"/>
      <c r="J83" s="1543"/>
      <c r="K83" s="1543"/>
      <c r="L83" s="1543"/>
      <c r="M83" s="2842">
        <f>'צ.אמריקה '!S49</f>
        <v>610000</v>
      </c>
      <c r="N83" s="59"/>
      <c r="O83" s="59"/>
      <c r="Q83" s="10"/>
      <c r="S83" s="10"/>
      <c r="U83" s="10"/>
      <c r="W83" s="10"/>
    </row>
    <row r="84" spans="1:23" ht="15.75" thickBot="1" x14ac:dyDescent="0.3">
      <c r="A84" s="3123"/>
      <c r="B84" s="447"/>
      <c r="C84" s="1691">
        <v>4</v>
      </c>
      <c r="D84" s="647" t="str">
        <f>'צ.אמריקה '!L73</f>
        <v>עידוד והכנה במסגרת הקהל המסורתי</v>
      </c>
      <c r="E84" s="2978">
        <f>'צ.אמריקה '!M75</f>
        <v>2.1</v>
      </c>
      <c r="F84" s="1542">
        <f>'צ.אמריקה '!O77</f>
        <v>64980</v>
      </c>
      <c r="G84" s="1542">
        <f>'צ.אמריקה '!P77</f>
        <v>0</v>
      </c>
      <c r="H84" s="1542">
        <f t="shared" si="6"/>
        <v>64980</v>
      </c>
      <c r="I84" s="1542"/>
      <c r="J84" s="1543"/>
      <c r="K84" s="1543"/>
      <c r="L84" s="1543"/>
      <c r="M84" s="2842"/>
      <c r="N84" s="59"/>
      <c r="O84" s="59"/>
      <c r="Q84" s="10"/>
      <c r="S84" s="10"/>
      <c r="U84" s="10"/>
      <c r="W84" s="10"/>
    </row>
    <row r="85" spans="1:23" ht="15.75" thickBot="1" x14ac:dyDescent="0.3">
      <c r="A85" s="3123"/>
      <c r="B85" s="447"/>
      <c r="C85" s="1691">
        <v>5</v>
      </c>
      <c r="D85" s="647" t="str">
        <f>'צ.אמריקה '!L81</f>
        <v>עידוד והכנה במסגרת קהל הצעירים-רווקים</v>
      </c>
      <c r="E85" s="647">
        <f>'צ.אמריקה '!M84</f>
        <v>2</v>
      </c>
      <c r="F85" s="1542">
        <f>'צ.אמריקה '!O85</f>
        <v>83022.399999999994</v>
      </c>
      <c r="G85" s="1542">
        <f>'צ.אמריקה '!P85</f>
        <v>0</v>
      </c>
      <c r="H85" s="1542">
        <f t="shared" si="6"/>
        <v>83022.399999999994</v>
      </c>
      <c r="I85" s="1542"/>
      <c r="J85" s="1543"/>
      <c r="K85" s="1543"/>
      <c r="L85" s="1543"/>
      <c r="M85" s="2842"/>
      <c r="N85" s="59"/>
      <c r="O85" s="59"/>
      <c r="Q85" s="10"/>
      <c r="S85" s="10"/>
      <c r="U85" s="10"/>
      <c r="W85" s="10"/>
    </row>
    <row r="86" spans="1:23" ht="15.75" thickBot="1" x14ac:dyDescent="0.3">
      <c r="A86" s="3123"/>
      <c r="B86" s="447"/>
      <c r="C86" s="1691">
        <v>6</v>
      </c>
      <c r="D86" s="648" t="str">
        <f>'צ.אמריקה '!L88</f>
        <v>עידוד והכנה לעלייה תוך יצירת קישור עמוק בין המשפחות בארץ-ובארה"ב</v>
      </c>
      <c r="E86" s="647">
        <f>'צ.אמריקה '!M90</f>
        <v>2</v>
      </c>
      <c r="F86" s="1542">
        <f>'צ.אמריקה '!O92</f>
        <v>85500</v>
      </c>
      <c r="G86" s="1542">
        <f>'צ.אמריקה '!P92</f>
        <v>0</v>
      </c>
      <c r="H86" s="1542">
        <f t="shared" si="6"/>
        <v>85500</v>
      </c>
      <c r="I86" s="1542"/>
      <c r="J86" s="1543"/>
      <c r="K86" s="1543"/>
      <c r="L86" s="1543"/>
      <c r="M86" s="2842"/>
      <c r="N86" s="59"/>
      <c r="O86" s="59"/>
      <c r="Q86" s="10"/>
      <c r="S86" s="10"/>
      <c r="U86" s="10"/>
      <c r="W86" s="10"/>
    </row>
    <row r="87" spans="1:23" ht="15.75" thickBot="1" x14ac:dyDescent="0.3">
      <c r="A87" s="3123"/>
      <c r="B87" s="447"/>
      <c r="C87" s="1691">
        <v>7</v>
      </c>
      <c r="D87" s="648" t="str">
        <f>'צ.אמריקה '!L95</f>
        <v xml:space="preserve">ירידי עלייה </v>
      </c>
      <c r="E87" s="647">
        <f>'צ.אמריקה '!M97</f>
        <v>3</v>
      </c>
      <c r="F87" s="1542">
        <f>'צ.אמריקה '!O103</f>
        <v>625424.49</v>
      </c>
      <c r="G87" s="1542">
        <f>'צ.אמריקה '!P103</f>
        <v>0</v>
      </c>
      <c r="H87" s="1542">
        <f t="shared" si="6"/>
        <v>625424.49</v>
      </c>
      <c r="I87" s="1542"/>
      <c r="J87" s="1543"/>
      <c r="K87" s="1543"/>
      <c r="L87" s="1543"/>
      <c r="M87" s="2842"/>
      <c r="N87" s="59"/>
      <c r="O87" s="59"/>
      <c r="Q87" s="10"/>
      <c r="S87" s="10"/>
      <c r="U87" s="10"/>
      <c r="W87" s="10"/>
    </row>
    <row r="88" spans="1:23" ht="15.75" thickBot="1" x14ac:dyDescent="0.3">
      <c r="A88" s="3155"/>
      <c r="B88" s="1490"/>
      <c r="C88" s="1691">
        <v>8</v>
      </c>
      <c r="D88" s="1491" t="s">
        <v>60</v>
      </c>
      <c r="E88" s="1492"/>
      <c r="F88" s="1544"/>
      <c r="G88" s="1544"/>
      <c r="H88" s="1544"/>
      <c r="I88" s="1544"/>
      <c r="J88" s="1545"/>
      <c r="K88" s="1545"/>
      <c r="L88" s="1545"/>
      <c r="M88" s="2843">
        <f>'צ.אמריקה '!S108</f>
        <v>240000</v>
      </c>
      <c r="N88" s="59"/>
      <c r="O88" s="59"/>
      <c r="Q88" s="10"/>
      <c r="S88" s="10"/>
      <c r="U88" s="10"/>
      <c r="W88" s="10"/>
    </row>
    <row r="89" spans="1:23" ht="15.75" thickBot="1" x14ac:dyDescent="0.3">
      <c r="A89" s="3124"/>
      <c r="B89" s="640"/>
      <c r="C89" s="1692"/>
      <c r="D89" s="94" t="s">
        <v>703</v>
      </c>
      <c r="E89" s="1568"/>
      <c r="F89" s="95">
        <f t="shared" ref="F89:M89" si="7">SUM(F81:F88)</f>
        <v>1840987.39</v>
      </c>
      <c r="G89" s="95">
        <f t="shared" si="7"/>
        <v>45315</v>
      </c>
      <c r="H89" s="95">
        <f t="shared" si="7"/>
        <v>1840987.39</v>
      </c>
      <c r="I89" s="95">
        <f t="shared" si="7"/>
        <v>0</v>
      </c>
      <c r="J89" s="95">
        <f t="shared" si="7"/>
        <v>0</v>
      </c>
      <c r="K89" s="95">
        <f t="shared" si="7"/>
        <v>0</v>
      </c>
      <c r="L89" s="95">
        <f t="shared" si="7"/>
        <v>0</v>
      </c>
      <c r="M89" s="1551">
        <f t="shared" si="7"/>
        <v>850000</v>
      </c>
      <c r="N89" s="59"/>
      <c r="O89" s="59"/>
      <c r="Q89" s="10"/>
      <c r="S89" s="10"/>
      <c r="U89" s="10"/>
      <c r="W89" s="10"/>
    </row>
    <row r="90" spans="1:23" ht="15.75" hidden="1" thickBot="1" x14ac:dyDescent="0.3">
      <c r="A90" s="3156" t="s">
        <v>816</v>
      </c>
      <c r="B90" s="2769"/>
      <c r="C90" s="2770"/>
      <c r="D90" s="2776" t="e">
        <f>אנגליה!#REF!</f>
        <v>#REF!</v>
      </c>
      <c r="E90" s="2776" t="e">
        <f>אנגליה!#REF!</f>
        <v>#REF!</v>
      </c>
      <c r="F90" s="2777" t="e">
        <f>אנגליה!#REF!</f>
        <v>#REF!</v>
      </c>
      <c r="G90" s="2777"/>
      <c r="H90" s="2777"/>
      <c r="I90" s="2777" t="e">
        <f>F90</f>
        <v>#REF!</v>
      </c>
      <c r="J90" s="2777"/>
      <c r="K90" s="2777"/>
      <c r="L90" s="2777"/>
      <c r="M90" s="2778"/>
      <c r="N90" s="59"/>
      <c r="O90" s="59"/>
      <c r="Q90" s="10"/>
      <c r="S90" s="10"/>
      <c r="U90" s="10"/>
      <c r="W90" s="10"/>
    </row>
    <row r="91" spans="1:23" ht="15.75" hidden="1" thickBot="1" x14ac:dyDescent="0.3">
      <c r="A91" s="3125"/>
      <c r="B91" s="2769"/>
      <c r="C91" s="2770"/>
      <c r="D91" s="2776" t="str">
        <f>אנגליה!L70</f>
        <v xml:space="preserve"> שליח נייד </v>
      </c>
      <c r="E91" s="2776">
        <f>1</f>
        <v>1</v>
      </c>
      <c r="F91" s="2777">
        <f>אנגליה!O78</f>
        <v>393273</v>
      </c>
      <c r="G91" s="2777"/>
      <c r="H91" s="2777"/>
      <c r="I91" s="2777">
        <f>F91</f>
        <v>393273</v>
      </c>
      <c r="J91" s="2777"/>
      <c r="K91" s="2777"/>
      <c r="L91" s="2777"/>
      <c r="M91" s="2778"/>
      <c r="N91" s="59"/>
      <c r="O91" s="59"/>
      <c r="Q91" s="10"/>
      <c r="S91" s="10"/>
      <c r="U91" s="10"/>
      <c r="W91" s="10"/>
    </row>
    <row r="92" spans="1:23" ht="15.75" hidden="1" thickBot="1" x14ac:dyDescent="0.3">
      <c r="A92" s="3126"/>
      <c r="B92" s="2769"/>
      <c r="C92" s="2770"/>
      <c r="D92" s="2771" t="s">
        <v>817</v>
      </c>
      <c r="E92" s="2772"/>
      <c r="F92" s="2773" t="e">
        <f>SUM(F90:F91)</f>
        <v>#REF!</v>
      </c>
      <c r="G92" s="2773"/>
      <c r="H92" s="2773"/>
      <c r="I92" s="2773" t="e">
        <f>SUM(I90:I91)</f>
        <v>#REF!</v>
      </c>
      <c r="J92" s="2773"/>
      <c r="K92" s="2773"/>
      <c r="L92" s="2773"/>
      <c r="M92" s="2774"/>
      <c r="N92" s="59"/>
      <c r="O92" s="59"/>
      <c r="Q92" s="10"/>
      <c r="S92" s="10"/>
      <c r="U92" s="10"/>
      <c r="W92" s="10"/>
    </row>
    <row r="93" spans="1:23" ht="15.75" thickBot="1" x14ac:dyDescent="0.3">
      <c r="A93" s="3113" t="s">
        <v>677</v>
      </c>
      <c r="B93" s="636"/>
      <c r="C93" s="125"/>
      <c r="D93" s="639" t="str">
        <f>'הונגריה ומזרח אירופה'!L3</f>
        <v xml:space="preserve">ירידי עידוד עלייה  </v>
      </c>
      <c r="E93" s="639">
        <f>'הונגריה ומזרח אירופה'!M5</f>
        <v>2</v>
      </c>
      <c r="F93" s="1548">
        <f>'הונגריה ומזרח אירופה'!O12</f>
        <v>139992</v>
      </c>
      <c r="G93" s="1548">
        <f>'הונגריה ומזרח אירופה'!P12</f>
        <v>0</v>
      </c>
      <c r="H93" s="1548"/>
      <c r="I93" s="1548">
        <f>F93</f>
        <v>139992</v>
      </c>
      <c r="J93" s="1549"/>
      <c r="K93" s="1549"/>
      <c r="L93" s="1549"/>
      <c r="M93" s="1550"/>
      <c r="N93" s="59"/>
      <c r="O93" s="59"/>
      <c r="Q93" s="10"/>
      <c r="S93" s="10"/>
      <c r="U93" s="10"/>
      <c r="W93" s="10"/>
    </row>
    <row r="94" spans="1:23" ht="15.75" thickBot="1" x14ac:dyDescent="0.3">
      <c r="A94" s="3114"/>
      <c r="B94" s="637"/>
      <c r="C94" s="2785"/>
      <c r="D94" s="635" t="s">
        <v>678</v>
      </c>
      <c r="E94" s="1637">
        <f>-F94+'הונגריה ומזרח אירופה'!O17</f>
        <v>0</v>
      </c>
      <c r="F94" s="37">
        <f t="shared" ref="F94:K94" si="8">SUM(F93:F93)</f>
        <v>139992</v>
      </c>
      <c r="G94" s="37">
        <f t="shared" si="8"/>
        <v>0</v>
      </c>
      <c r="H94" s="37">
        <f t="shared" si="8"/>
        <v>0</v>
      </c>
      <c r="I94" s="37">
        <f t="shared" si="8"/>
        <v>139992</v>
      </c>
      <c r="J94" s="37">
        <f t="shared" si="8"/>
        <v>0</v>
      </c>
      <c r="K94" s="37">
        <f t="shared" si="8"/>
        <v>0</v>
      </c>
      <c r="L94" s="37"/>
      <c r="M94" s="20">
        <f>SUM(M93:M93)</f>
        <v>0</v>
      </c>
      <c r="N94" s="638">
        <f>SUM(N93:N93)</f>
        <v>0</v>
      </c>
      <c r="O94" s="172">
        <f>SUM(O93:O93)</f>
        <v>0</v>
      </c>
      <c r="Q94" s="10"/>
      <c r="S94" s="10"/>
      <c r="U94" s="10"/>
      <c r="W94" s="10"/>
    </row>
    <row r="95" spans="1:23" ht="15.75" hidden="1" thickBot="1" x14ac:dyDescent="0.3">
      <c r="A95" s="1647" t="s">
        <v>785</v>
      </c>
      <c r="B95" s="1648"/>
      <c r="C95" s="1693"/>
      <c r="D95" s="1649"/>
      <c r="E95" s="1650"/>
      <c r="F95" s="1651"/>
      <c r="G95" s="1651"/>
      <c r="H95" s="1651"/>
      <c r="I95" s="1651"/>
      <c r="J95" s="1651"/>
      <c r="K95" s="1651"/>
      <c r="L95" s="1652"/>
      <c r="M95" s="1653"/>
      <c r="N95" s="1588"/>
      <c r="O95" s="1588"/>
      <c r="Q95" s="10"/>
      <c r="S95" s="10"/>
      <c r="U95" s="10"/>
      <c r="W95" s="10"/>
    </row>
    <row r="96" spans="1:23" ht="15.75" thickBot="1" x14ac:dyDescent="0.3">
      <c r="A96" s="1668" t="s">
        <v>8</v>
      </c>
      <c r="B96" s="1669"/>
      <c r="C96" s="1694"/>
      <c r="D96" s="1670"/>
      <c r="E96" s="1671"/>
      <c r="F96" s="1672">
        <f>גלובל!O18</f>
        <v>600318.44999999995</v>
      </c>
      <c r="G96" s="1672">
        <f>גלובל!P18</f>
        <v>105938.54999999999</v>
      </c>
      <c r="H96" s="1672"/>
      <c r="I96" s="1672">
        <f>F96</f>
        <v>600318.44999999995</v>
      </c>
      <c r="J96" s="1672"/>
      <c r="K96" s="1674">
        <f>גלובל!S18</f>
        <v>1665288</v>
      </c>
      <c r="L96" s="1673"/>
      <c r="M96" s="1674"/>
      <c r="N96" s="1588"/>
      <c r="O96" s="1588"/>
      <c r="Q96" s="10"/>
      <c r="S96" s="10"/>
      <c r="U96" s="10"/>
      <c r="W96" s="10"/>
    </row>
    <row r="97" spans="1:23" ht="30.75" customHeight="1" thickBot="1" x14ac:dyDescent="0.3">
      <c r="A97" s="175" t="s">
        <v>71</v>
      </c>
      <c r="B97" s="176"/>
      <c r="C97" s="1695"/>
      <c r="D97" s="176"/>
      <c r="E97" s="177"/>
      <c r="F97" s="1552">
        <f>'הכשרת מורים'!P13</f>
        <v>1486200</v>
      </c>
      <c r="G97" s="1552"/>
      <c r="H97" s="1552">
        <f>F97</f>
        <v>1486200</v>
      </c>
      <c r="I97" s="1552"/>
      <c r="J97" s="1552"/>
      <c r="K97" s="1552"/>
      <c r="L97" s="1553"/>
      <c r="M97" s="178"/>
      <c r="N97" s="59"/>
      <c r="O97" s="59"/>
      <c r="Q97" s="10"/>
      <c r="S97" s="10"/>
      <c r="U97" s="10"/>
      <c r="W97" s="10"/>
    </row>
    <row r="98" spans="1:23" ht="15.75" thickBot="1" x14ac:dyDescent="0.3">
      <c r="A98" s="174" t="s">
        <v>20</v>
      </c>
      <c r="B98" s="154"/>
      <c r="C98" s="1696"/>
      <c r="D98" s="154"/>
      <c r="E98" s="155"/>
      <c r="F98" s="1546">
        <f>1500000</f>
        <v>1500000</v>
      </c>
      <c r="G98" s="1546"/>
      <c r="H98" s="1546"/>
      <c r="I98" s="1546"/>
      <c r="J98" s="1546"/>
      <c r="K98" s="1546"/>
      <c r="L98" s="1547"/>
      <c r="M98" s="157"/>
      <c r="N98" s="59"/>
      <c r="O98" s="59"/>
      <c r="Q98" s="10"/>
      <c r="S98" s="10"/>
      <c r="U98" s="10"/>
      <c r="W98" s="10"/>
    </row>
    <row r="99" spans="1:23" ht="15.75" thickBot="1" x14ac:dyDescent="0.3">
      <c r="A99" s="143"/>
      <c r="B99" s="85"/>
      <c r="C99" s="1697"/>
      <c r="D99" s="85"/>
      <c r="E99" s="85"/>
      <c r="F99" s="1554">
        <f>SUM(F24,F47,F61,F72,F80,F89,,F94:F98)</f>
        <v>41896806.090948522</v>
      </c>
      <c r="G99" s="1554">
        <f>SUM(G24,G47,G61,G72,G80,G89,,G94:G98)</f>
        <v>1885625.2862714289</v>
      </c>
      <c r="H99" s="1554">
        <f t="shared" ref="H99:L99" si="9">SUM(H24,H47,H61,H72,H80,H89,,H94:H98)</f>
        <v>13051777.49</v>
      </c>
      <c r="I99" s="1554">
        <f t="shared" si="9"/>
        <v>27345028.600948524</v>
      </c>
      <c r="J99" s="1554">
        <f t="shared" si="9"/>
        <v>257</v>
      </c>
      <c r="K99" s="1554">
        <f t="shared" si="9"/>
        <v>19446143.01809524</v>
      </c>
      <c r="L99" s="1554">
        <f t="shared" si="9"/>
        <v>0</v>
      </c>
      <c r="M99" s="1554">
        <f>SUM(M24,M47,M61,M72,M80,M89,M94:M98)</f>
        <v>3511126.32</v>
      </c>
      <c r="N99" s="1554">
        <f>N24+N47+N61+N72++N80+N89+N94+N95+N96+N97+N98</f>
        <v>0</v>
      </c>
      <c r="O99" s="1554">
        <f>O24+O47+O61+O72++O80+O89+O94+O95+O96+O97+O98</f>
        <v>0</v>
      </c>
      <c r="Q99" s="10"/>
      <c r="S99" s="10"/>
      <c r="U99" s="10"/>
      <c r="W99" s="10"/>
    </row>
    <row r="100" spans="1:23" s="9" customFormat="1" x14ac:dyDescent="0.25">
      <c r="C100" s="2849"/>
      <c r="F100" s="2850"/>
      <c r="G100" s="2850"/>
      <c r="H100" s="2850"/>
      <c r="I100" s="2850"/>
      <c r="J100" s="2850"/>
      <c r="K100" s="2850"/>
      <c r="L100" s="2850"/>
      <c r="M100" s="2850"/>
      <c r="P100" s="2850"/>
      <c r="Q100" s="10"/>
    </row>
    <row r="101" spans="1:23" s="9" customFormat="1" x14ac:dyDescent="0.25">
      <c r="C101" s="2849"/>
      <c r="D101" s="2880" t="s">
        <v>78</v>
      </c>
      <c r="E101" s="2880"/>
      <c r="F101" s="2881">
        <f>F99+G99+K99+M99</f>
        <v>66739700.715315193</v>
      </c>
      <c r="G101" s="2850"/>
      <c r="H101" s="2850"/>
      <c r="I101" s="2850"/>
      <c r="J101" s="2850"/>
      <c r="K101" s="2850"/>
      <c r="L101" s="2850"/>
      <c r="M101" s="2850"/>
      <c r="P101" s="2850"/>
      <c r="Q101" s="10"/>
    </row>
    <row r="102" spans="1:23" s="9" customFormat="1" x14ac:dyDescent="0.25">
      <c r="C102" s="2849"/>
      <c r="D102" s="2880" t="s">
        <v>80</v>
      </c>
      <c r="E102" s="2880"/>
      <c r="F102" s="2881">
        <f>F99</f>
        <v>41896806.090948522</v>
      </c>
      <c r="G102" s="2850"/>
      <c r="H102" s="2850"/>
      <c r="I102" s="2850"/>
      <c r="J102" s="2850"/>
      <c r="K102" s="2850"/>
      <c r="L102" s="2850"/>
      <c r="M102" s="2850"/>
      <c r="P102" s="2850"/>
      <c r="Q102" s="10"/>
    </row>
    <row r="103" spans="1:23" s="9" customFormat="1" x14ac:dyDescent="0.25">
      <c r="C103" s="2849"/>
      <c r="D103" s="2880" t="s">
        <v>59</v>
      </c>
      <c r="E103" s="2880"/>
      <c r="F103" s="2881">
        <f>G99</f>
        <v>1885625.2862714289</v>
      </c>
      <c r="G103" s="2850"/>
      <c r="H103" s="2850"/>
      <c r="I103" s="2850"/>
      <c r="J103" s="2850"/>
      <c r="K103" s="2850"/>
      <c r="L103" s="2850"/>
      <c r="M103" s="2850"/>
      <c r="P103" s="2850"/>
      <c r="Q103" s="10"/>
    </row>
    <row r="104" spans="1:23" s="9" customFormat="1" x14ac:dyDescent="0.25">
      <c r="C104" s="2849"/>
      <c r="D104" s="2880" t="s">
        <v>884</v>
      </c>
      <c r="E104" s="2880"/>
      <c r="F104" s="2881">
        <f>K99+M99</f>
        <v>22957269.33809524</v>
      </c>
      <c r="G104" s="2850"/>
      <c r="H104" s="2850"/>
      <c r="I104" s="2850"/>
      <c r="J104" s="2850"/>
      <c r="K104" s="2850"/>
      <c r="L104" s="2850"/>
      <c r="M104" s="2850"/>
      <c r="P104" s="2850"/>
      <c r="Q104" s="10"/>
    </row>
    <row r="105" spans="1:23" s="9" customFormat="1" x14ac:dyDescent="0.25">
      <c r="C105" s="2849"/>
      <c r="F105" s="2850"/>
      <c r="G105" s="2850"/>
      <c r="H105" s="2850"/>
      <c r="I105" s="2850"/>
      <c r="J105" s="2850"/>
      <c r="K105" s="2850"/>
      <c r="L105" s="2850"/>
      <c r="M105" s="2850"/>
      <c r="P105" s="2850"/>
      <c r="Q105" s="10"/>
    </row>
    <row r="106" spans="1:23" s="9" customFormat="1" x14ac:dyDescent="0.25">
      <c r="C106" s="2849"/>
      <c r="F106" s="2850"/>
      <c r="G106" s="2850"/>
      <c r="H106" s="2850"/>
      <c r="I106" s="2850"/>
      <c r="J106" s="2850"/>
      <c r="K106" s="2850"/>
      <c r="L106" s="2850"/>
      <c r="M106" s="2850"/>
      <c r="P106" s="2850"/>
      <c r="Q106" s="10"/>
    </row>
    <row r="107" spans="1:23" ht="15.75" x14ac:dyDescent="0.25">
      <c r="A107"/>
      <c r="B107"/>
      <c r="C107" s="246"/>
      <c r="F107" s="2940"/>
      <c r="Q107" s="10"/>
    </row>
    <row r="108" spans="1:23" ht="15.75" thickBot="1" x14ac:dyDescent="0.3">
      <c r="A108" s="59"/>
      <c r="B108"/>
      <c r="C108" s="246"/>
      <c r="F108" s="1555"/>
      <c r="Q108" s="10"/>
    </row>
    <row r="109" spans="1:23" ht="14.25" x14ac:dyDescent="0.2">
      <c r="A109"/>
      <c r="B109"/>
      <c r="C109" s="246"/>
    </row>
    <row r="110" spans="1:23" ht="14.25" x14ac:dyDescent="0.2">
      <c r="A110"/>
      <c r="B110"/>
      <c r="C110" s="246"/>
    </row>
  </sheetData>
  <mergeCells count="22">
    <mergeCell ref="A93:A94"/>
    <mergeCell ref="A73:A80"/>
    <mergeCell ref="A81:A89"/>
    <mergeCell ref="A48:A61"/>
    <mergeCell ref="A90:A92"/>
    <mergeCell ref="B50:B51"/>
    <mergeCell ref="B53:B54"/>
    <mergeCell ref="A62:A72"/>
    <mergeCell ref="B65:B66"/>
    <mergeCell ref="B67:B68"/>
    <mergeCell ref="A2:A24"/>
    <mergeCell ref="B2:B4"/>
    <mergeCell ref="B5:B7"/>
    <mergeCell ref="B8:B9"/>
    <mergeCell ref="B10:B12"/>
    <mergeCell ref="B13:B14"/>
    <mergeCell ref="B15:B18"/>
    <mergeCell ref="A25:A47"/>
    <mergeCell ref="B25:B27"/>
    <mergeCell ref="B29:B30"/>
    <mergeCell ref="B31:B33"/>
    <mergeCell ref="B35:B39"/>
  </mergeCells>
  <pageMargins left="0.70866141732283505" right="0.70866141732283505" top="0.74803149606299202" bottom="0.74803149606299202" header="0.31496062992126" footer="0.31496062992126"/>
  <pageSetup paperSize="9" scale="81" fitToHeight="0" orientation="landscape" r:id="rId1"/>
  <headerFooter>
    <oddHeader>&amp;L&amp;D&amp;C&amp;A&amp;R&amp;F</oddHeader>
    <oddFooter>&amp;L&amp;D&amp;R&amp;G</oddFooter>
  </headerFooter>
  <rowBreaks count="3" manualBreakCount="3">
    <brk id="24" max="13" man="1"/>
    <brk id="47" max="13" man="1"/>
    <brk id="72" max="1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90"/>
  <sheetViews>
    <sheetView rightToLeft="1" zoomScaleNormal="100" zoomScaleSheetLayoutView="100" workbookViewId="0">
      <pane xSplit="3" ySplit="1" topLeftCell="G68" activePane="bottomRight" state="frozen"/>
      <selection pane="topRight" activeCell="D1" sqref="D1"/>
      <selection pane="bottomLeft" activeCell="A2" sqref="A2"/>
      <selection pane="bottomRight" activeCell="K80" sqref="K80"/>
    </sheetView>
  </sheetViews>
  <sheetFormatPr defaultRowHeight="15" x14ac:dyDescent="0.2"/>
  <cols>
    <col min="1" max="1" width="13.375" style="18" customWidth="1"/>
    <col min="2" max="3" width="0" hidden="1" customWidth="1"/>
    <col min="4" max="4" width="20.75" style="1630" customWidth="1"/>
    <col min="5" max="5" width="5" style="60" customWidth="1"/>
    <col min="6" max="6" width="46.25" bestFit="1" customWidth="1"/>
    <col min="7" max="7" width="6.625" customWidth="1"/>
    <col min="8" max="9" width="15.625" style="53" bestFit="1" customWidth="1"/>
    <col min="10" max="10" width="14.625" style="53" customWidth="1"/>
    <col min="11" max="11" width="15.625" style="53" customWidth="1"/>
    <col min="12" max="12" width="14.625" style="53" bestFit="1" customWidth="1"/>
    <col min="13" max="13" width="12" bestFit="1" customWidth="1"/>
    <col min="14" max="15" width="11.625" hidden="1" customWidth="1"/>
    <col min="16" max="17" width="13.125" bestFit="1" customWidth="1"/>
  </cols>
  <sheetData>
    <row r="1" spans="1:17" ht="32.25" thickBot="1" x14ac:dyDescent="0.25">
      <c r="A1" s="113" t="s">
        <v>17</v>
      </c>
      <c r="B1" s="114"/>
      <c r="C1" s="114"/>
      <c r="D1" s="1613" t="s">
        <v>52</v>
      </c>
      <c r="E1" s="114"/>
      <c r="F1" s="114" t="s">
        <v>3</v>
      </c>
      <c r="G1" s="114" t="s">
        <v>30</v>
      </c>
      <c r="H1" s="54" t="s">
        <v>80</v>
      </c>
      <c r="I1" s="54" t="s">
        <v>59</v>
      </c>
      <c r="J1" s="54" t="s">
        <v>2</v>
      </c>
      <c r="K1" s="167" t="s">
        <v>1</v>
      </c>
      <c r="L1" s="54" t="s">
        <v>41</v>
      </c>
      <c r="M1" s="115" t="s">
        <v>40</v>
      </c>
      <c r="N1" s="99" t="s">
        <v>0</v>
      </c>
      <c r="O1" s="22" t="s">
        <v>0</v>
      </c>
      <c r="P1" s="92" t="s">
        <v>75</v>
      </c>
      <c r="Q1" s="92" t="s">
        <v>76</v>
      </c>
    </row>
    <row r="2" spans="1:17" ht="15" customHeight="1" x14ac:dyDescent="0.2">
      <c r="A2" s="3132" t="s">
        <v>21</v>
      </c>
      <c r="B2" s="3157"/>
      <c r="C2" s="116">
        <v>2</v>
      </c>
      <c r="D2" s="3160" t="s">
        <v>4</v>
      </c>
      <c r="E2" s="117">
        <v>1.1000000000000001</v>
      </c>
      <c r="F2" s="6" t="s">
        <v>227</v>
      </c>
      <c r="G2" s="6">
        <v>102</v>
      </c>
      <c r="H2" s="118">
        <v>818318.90061188815</v>
      </c>
      <c r="I2" s="118"/>
      <c r="J2" s="118"/>
      <c r="K2" s="48">
        <f t="shared" ref="K2:K20" si="0">H2</f>
        <v>818318.90061188815</v>
      </c>
      <c r="L2" s="120"/>
      <c r="M2" s="121"/>
      <c r="N2" s="100" t="s">
        <v>50</v>
      </c>
      <c r="O2" s="36" t="s">
        <v>46</v>
      </c>
    </row>
    <row r="3" spans="1:17" ht="15" customHeight="1" x14ac:dyDescent="0.2">
      <c r="A3" s="3133"/>
      <c r="B3" s="3158"/>
      <c r="C3" s="159"/>
      <c r="D3" s="3161"/>
      <c r="E3" s="1581">
        <v>1.2</v>
      </c>
      <c r="F3" s="160" t="s">
        <v>241</v>
      </c>
      <c r="G3" s="160">
        <v>13</v>
      </c>
      <c r="H3" s="161">
        <v>2369951.9160839161</v>
      </c>
      <c r="I3" s="161"/>
      <c r="J3" s="161"/>
      <c r="K3" s="48">
        <f t="shared" si="0"/>
        <v>2369951.9160839161</v>
      </c>
      <c r="L3" s="162"/>
      <c r="M3" s="163"/>
      <c r="N3" s="100"/>
      <c r="O3" s="36"/>
    </row>
    <row r="4" spans="1:17" ht="15" customHeight="1" x14ac:dyDescent="0.2">
      <c r="A4" s="3133"/>
      <c r="B4" s="3158"/>
      <c r="C4" s="159"/>
      <c r="D4" s="3162"/>
      <c r="E4" s="1581">
        <v>1.3</v>
      </c>
      <c r="F4" s="160" t="s">
        <v>253</v>
      </c>
      <c r="G4" s="160">
        <v>24</v>
      </c>
      <c r="H4" s="161">
        <v>686692.55944055947</v>
      </c>
      <c r="I4" s="161"/>
      <c r="J4" s="161"/>
      <c r="K4" s="48">
        <f t="shared" si="0"/>
        <v>686692.55944055947</v>
      </c>
      <c r="L4" s="162"/>
      <c r="M4" s="163"/>
      <c r="N4" s="100"/>
      <c r="O4" s="36"/>
    </row>
    <row r="5" spans="1:17" ht="21.75" customHeight="1" x14ac:dyDescent="0.2">
      <c r="A5" s="3134"/>
      <c r="B5" s="3159"/>
      <c r="C5" s="11">
        <v>4</v>
      </c>
      <c r="D5" s="3163" t="s">
        <v>57</v>
      </c>
      <c r="E5" s="1571">
        <v>2.1</v>
      </c>
      <c r="F5" s="5" t="s">
        <v>260</v>
      </c>
      <c r="G5" s="5">
        <v>40</v>
      </c>
      <c r="H5" s="48">
        <v>416327.34341042821</v>
      </c>
      <c r="I5" s="48"/>
      <c r="J5" s="48"/>
      <c r="K5" s="48">
        <f t="shared" si="0"/>
        <v>416327.34341042821</v>
      </c>
      <c r="L5" s="47">
        <v>1694800</v>
      </c>
      <c r="M5" s="110"/>
      <c r="N5" s="100" t="s">
        <v>50</v>
      </c>
      <c r="O5" s="36" t="s">
        <v>46</v>
      </c>
    </row>
    <row r="6" spans="1:17" ht="21.75" customHeight="1" x14ac:dyDescent="0.2">
      <c r="A6" s="3134"/>
      <c r="B6" s="3159"/>
      <c r="C6" s="11"/>
      <c r="D6" s="3161"/>
      <c r="E6" s="1571">
        <v>2.2000000000000002</v>
      </c>
      <c r="F6" s="5" t="s">
        <v>275</v>
      </c>
      <c r="G6" s="5">
        <v>42</v>
      </c>
      <c r="H6" s="48">
        <v>424272.8</v>
      </c>
      <c r="I6" s="48"/>
      <c r="J6" s="48"/>
      <c r="K6" s="48">
        <f t="shared" si="0"/>
        <v>424272.8</v>
      </c>
      <c r="L6" s="47"/>
      <c r="M6" s="110"/>
      <c r="N6" s="100"/>
      <c r="O6" s="36"/>
    </row>
    <row r="7" spans="1:17" ht="21.75" customHeight="1" x14ac:dyDescent="0.2">
      <c r="A7" s="3134"/>
      <c r="B7" s="3159"/>
      <c r="C7" s="11"/>
      <c r="D7" s="3162"/>
      <c r="E7" s="1571">
        <v>2.2999999999999998</v>
      </c>
      <c r="F7" s="5" t="s">
        <v>282</v>
      </c>
      <c r="G7" s="5">
        <v>6</v>
      </c>
      <c r="H7" s="48">
        <v>0</v>
      </c>
      <c r="I7" s="48"/>
      <c r="J7" s="48"/>
      <c r="K7" s="48">
        <f t="shared" si="0"/>
        <v>0</v>
      </c>
      <c r="L7" s="47">
        <v>32940.720000000001</v>
      </c>
      <c r="M7" s="110"/>
      <c r="N7" s="100"/>
      <c r="O7" s="36"/>
    </row>
    <row r="8" spans="1:17" ht="15" customHeight="1" x14ac:dyDescent="0.2">
      <c r="A8" s="3134"/>
      <c r="B8" s="3159"/>
      <c r="C8" s="11">
        <v>8</v>
      </c>
      <c r="D8" s="3164" t="s">
        <v>29</v>
      </c>
      <c r="E8" s="1572">
        <v>3.1</v>
      </c>
      <c r="F8" s="5" t="s">
        <v>27</v>
      </c>
      <c r="G8" s="5">
        <v>49</v>
      </c>
      <c r="H8" s="48">
        <v>2928227.0559440563</v>
      </c>
      <c r="I8" s="48"/>
      <c r="J8" s="48"/>
      <c r="K8" s="48">
        <f t="shared" si="0"/>
        <v>2928227.0559440563</v>
      </c>
      <c r="L8" s="47">
        <v>479783.1468531469</v>
      </c>
      <c r="M8" s="110"/>
      <c r="N8" s="100" t="s">
        <v>50</v>
      </c>
      <c r="O8" s="36" t="s">
        <v>46</v>
      </c>
    </row>
    <row r="9" spans="1:17" ht="15" customHeight="1" x14ac:dyDescent="0.2">
      <c r="A9" s="3134"/>
      <c r="B9" s="3159"/>
      <c r="C9" s="11"/>
      <c r="D9" s="3165"/>
      <c r="E9" s="1572">
        <v>3.2</v>
      </c>
      <c r="F9" s="5" t="s">
        <v>294</v>
      </c>
      <c r="G9" s="5">
        <v>5</v>
      </c>
      <c r="H9" s="55"/>
      <c r="I9" s="48"/>
      <c r="J9" s="48"/>
      <c r="K9" s="48">
        <f t="shared" si="0"/>
        <v>0</v>
      </c>
      <c r="L9" s="47">
        <v>125095.27272727274</v>
      </c>
      <c r="M9" s="110"/>
      <c r="N9" s="100"/>
      <c r="O9" s="36"/>
    </row>
    <row r="10" spans="1:17" ht="15" customHeight="1" x14ac:dyDescent="0.2">
      <c r="A10" s="3134"/>
      <c r="B10" s="3159"/>
      <c r="C10" s="11"/>
      <c r="D10" s="3166" t="s">
        <v>6</v>
      </c>
      <c r="E10" s="1571">
        <v>4.0999999999999996</v>
      </c>
      <c r="F10" s="5" t="s">
        <v>315</v>
      </c>
      <c r="G10" s="5">
        <v>70</v>
      </c>
      <c r="H10" s="48">
        <v>325584</v>
      </c>
      <c r="I10" s="48">
        <v>57456</v>
      </c>
      <c r="J10" s="48"/>
      <c r="K10" s="48">
        <f t="shared" si="0"/>
        <v>325584</v>
      </c>
      <c r="L10" s="47"/>
      <c r="M10" s="110"/>
      <c r="N10" s="100" t="s">
        <v>51</v>
      </c>
      <c r="O10" s="36" t="s">
        <v>48</v>
      </c>
    </row>
    <row r="11" spans="1:17" ht="15" customHeight="1" x14ac:dyDescent="0.2">
      <c r="A11" s="3134"/>
      <c r="B11" s="3159"/>
      <c r="C11" s="11">
        <v>9</v>
      </c>
      <c r="D11" s="3166"/>
      <c r="E11" s="1571">
        <v>4.2</v>
      </c>
      <c r="F11" s="5" t="s">
        <v>318</v>
      </c>
      <c r="G11" s="5">
        <v>6</v>
      </c>
      <c r="H11" s="48">
        <v>1262477.8</v>
      </c>
      <c r="I11" s="48">
        <v>222790.2</v>
      </c>
      <c r="J11" s="48"/>
      <c r="K11" s="48">
        <f t="shared" si="0"/>
        <v>1262477.8</v>
      </c>
      <c r="L11" s="47">
        <v>2111052</v>
      </c>
      <c r="M11" s="110"/>
      <c r="N11" s="100" t="s">
        <v>51</v>
      </c>
      <c r="O11" s="36" t="s">
        <v>48</v>
      </c>
    </row>
    <row r="12" spans="1:17" ht="15" customHeight="1" x14ac:dyDescent="0.2">
      <c r="A12" s="3134"/>
      <c r="B12" s="3159"/>
      <c r="C12" s="11">
        <v>11</v>
      </c>
      <c r="D12" s="3166"/>
      <c r="E12" s="1571">
        <v>4.3</v>
      </c>
      <c r="F12" s="5" t="s">
        <v>339</v>
      </c>
      <c r="G12" s="5">
        <v>35</v>
      </c>
      <c r="H12" s="48">
        <v>1300925</v>
      </c>
      <c r="I12" s="48">
        <v>229575</v>
      </c>
      <c r="J12" s="48"/>
      <c r="K12" s="48">
        <f t="shared" si="0"/>
        <v>1300925</v>
      </c>
      <c r="L12" s="47">
        <v>3760000</v>
      </c>
      <c r="M12" s="110"/>
      <c r="N12" s="100" t="s">
        <v>50</v>
      </c>
      <c r="O12" s="36" t="s">
        <v>47</v>
      </c>
    </row>
    <row r="13" spans="1:17" ht="15" customHeight="1" x14ac:dyDescent="0.2">
      <c r="A13" s="3134"/>
      <c r="B13" s="3159"/>
      <c r="C13" s="11"/>
      <c r="D13" s="3166" t="s">
        <v>26</v>
      </c>
      <c r="E13" s="1571">
        <v>5.0999999999999996</v>
      </c>
      <c r="F13" s="164" t="s">
        <v>343</v>
      </c>
      <c r="G13" s="5">
        <v>6</v>
      </c>
      <c r="H13" s="48">
        <v>505036</v>
      </c>
      <c r="I13" s="48">
        <v>89124</v>
      </c>
      <c r="J13" s="48"/>
      <c r="K13" s="48">
        <f t="shared" si="0"/>
        <v>505036</v>
      </c>
      <c r="L13" s="47"/>
      <c r="M13" s="110"/>
      <c r="N13" s="100" t="s">
        <v>50</v>
      </c>
      <c r="O13" s="36" t="s">
        <v>47</v>
      </c>
    </row>
    <row r="14" spans="1:17" ht="15" customHeight="1" x14ac:dyDescent="0.2">
      <c r="A14" s="3134"/>
      <c r="B14" s="3159"/>
      <c r="C14" s="11"/>
      <c r="D14" s="3166"/>
      <c r="E14" s="1571">
        <v>5.2</v>
      </c>
      <c r="F14" s="5" t="s">
        <v>344</v>
      </c>
      <c r="G14" s="5">
        <v>12</v>
      </c>
      <c r="H14" s="48">
        <v>409180</v>
      </c>
      <c r="I14" s="48"/>
      <c r="J14" s="48"/>
      <c r="K14" s="48">
        <f t="shared" si="0"/>
        <v>409180</v>
      </c>
      <c r="L14" s="47"/>
      <c r="M14" s="110"/>
      <c r="N14" s="100" t="s">
        <v>51</v>
      </c>
      <c r="O14" s="36" t="s">
        <v>48</v>
      </c>
    </row>
    <row r="15" spans="1:17" ht="15" customHeight="1" x14ac:dyDescent="0.2">
      <c r="A15" s="3134"/>
      <c r="B15" s="3159"/>
      <c r="C15" s="11">
        <v>15</v>
      </c>
      <c r="D15" s="3167" t="s">
        <v>9</v>
      </c>
      <c r="E15" s="1572">
        <v>6.1</v>
      </c>
      <c r="F15" s="5" t="s">
        <v>353</v>
      </c>
      <c r="G15" s="5">
        <v>1</v>
      </c>
      <c r="H15" s="48">
        <v>94848</v>
      </c>
      <c r="I15" s="48"/>
      <c r="J15" s="48"/>
      <c r="K15" s="48">
        <f t="shared" si="0"/>
        <v>94848</v>
      </c>
      <c r="L15" s="47">
        <v>69008</v>
      </c>
      <c r="M15" s="110"/>
      <c r="N15" s="100" t="s">
        <v>51</v>
      </c>
      <c r="O15" s="36" t="s">
        <v>48</v>
      </c>
    </row>
    <row r="16" spans="1:17" ht="14.25" x14ac:dyDescent="0.2">
      <c r="A16" s="3134"/>
      <c r="B16" s="3159"/>
      <c r="C16" s="11">
        <v>16</v>
      </c>
      <c r="D16" s="3167"/>
      <c r="E16" s="1572">
        <v>6.2</v>
      </c>
      <c r="F16" s="165" t="s">
        <v>362</v>
      </c>
      <c r="G16" s="5">
        <v>6</v>
      </c>
      <c r="H16" s="48">
        <v>517194</v>
      </c>
      <c r="I16" s="48"/>
      <c r="J16" s="48"/>
      <c r="K16" s="48">
        <f t="shared" si="0"/>
        <v>517194</v>
      </c>
      <c r="L16" s="47"/>
      <c r="M16" s="110"/>
      <c r="N16" s="100" t="s">
        <v>51</v>
      </c>
      <c r="O16" s="36" t="s">
        <v>48</v>
      </c>
    </row>
    <row r="17" spans="1:17" ht="15" customHeight="1" x14ac:dyDescent="0.2">
      <c r="A17" s="3134"/>
      <c r="B17" s="3159"/>
      <c r="C17" s="11">
        <v>17</v>
      </c>
      <c r="D17" s="3167"/>
      <c r="E17" s="1572">
        <v>6.3</v>
      </c>
      <c r="F17" s="12" t="s">
        <v>10</v>
      </c>
      <c r="G17" s="5">
        <v>5</v>
      </c>
      <c r="H17" s="48">
        <v>11500</v>
      </c>
      <c r="I17" s="48"/>
      <c r="J17" s="48"/>
      <c r="K17" s="48">
        <f t="shared" si="0"/>
        <v>11500</v>
      </c>
      <c r="L17" s="47"/>
      <c r="M17" s="110"/>
      <c r="N17" s="100" t="s">
        <v>51</v>
      </c>
      <c r="O17" s="36" t="s">
        <v>48</v>
      </c>
    </row>
    <row r="18" spans="1:17" ht="15" customHeight="1" x14ac:dyDescent="0.2">
      <c r="A18" s="3134"/>
      <c r="B18" s="3159"/>
      <c r="C18" s="11">
        <v>18</v>
      </c>
      <c r="D18" s="3167"/>
      <c r="E18" s="1572">
        <v>6.4</v>
      </c>
      <c r="F18" s="12" t="s">
        <v>11</v>
      </c>
      <c r="G18" s="5">
        <v>1</v>
      </c>
      <c r="H18" s="48">
        <v>72780</v>
      </c>
      <c r="I18" s="48"/>
      <c r="J18" s="48"/>
      <c r="K18" s="48">
        <f t="shared" si="0"/>
        <v>72780</v>
      </c>
      <c r="L18" s="47">
        <v>72780</v>
      </c>
      <c r="M18" s="110"/>
      <c r="N18" s="100" t="s">
        <v>51</v>
      </c>
      <c r="O18" s="36" t="s">
        <v>48</v>
      </c>
    </row>
    <row r="19" spans="1:17" ht="15" customHeight="1" x14ac:dyDescent="0.2">
      <c r="A19" s="3134"/>
      <c r="B19" s="81"/>
      <c r="C19" s="5">
        <v>26</v>
      </c>
      <c r="D19" s="1614" t="s">
        <v>53</v>
      </c>
      <c r="E19" s="1572">
        <v>6.5</v>
      </c>
      <c r="F19" s="5" t="s">
        <v>12</v>
      </c>
      <c r="G19" s="5">
        <v>15</v>
      </c>
      <c r="H19" s="48">
        <v>473020.90489510493</v>
      </c>
      <c r="I19" s="48"/>
      <c r="J19" s="48"/>
      <c r="K19" s="48">
        <f t="shared" si="0"/>
        <v>473020.90489510493</v>
      </c>
      <c r="L19" s="47">
        <v>709910.47132867132</v>
      </c>
      <c r="M19" s="110"/>
      <c r="N19" s="100" t="s">
        <v>51</v>
      </c>
      <c r="O19" s="36" t="s">
        <v>48</v>
      </c>
    </row>
    <row r="20" spans="1:17" ht="14.25" customHeight="1" x14ac:dyDescent="0.2">
      <c r="A20" s="3134"/>
      <c r="B20" s="81"/>
      <c r="C20" s="5"/>
      <c r="D20" s="1614"/>
      <c r="E20" s="1572">
        <v>8</v>
      </c>
      <c r="F20" s="5" t="s">
        <v>82</v>
      </c>
      <c r="G20" s="5"/>
      <c r="H20" s="48">
        <v>501750</v>
      </c>
      <c r="I20" s="48"/>
      <c r="J20" s="48"/>
      <c r="K20" s="48">
        <f t="shared" si="0"/>
        <v>501750</v>
      </c>
      <c r="L20" s="47"/>
      <c r="M20" s="110"/>
      <c r="N20" s="101"/>
      <c r="O20" s="75"/>
      <c r="P20" s="53"/>
    </row>
    <row r="21" spans="1:17" s="9" customFormat="1" ht="15.75" thickBot="1" x14ac:dyDescent="0.3">
      <c r="A21" s="3136"/>
      <c r="B21" s="149" t="s">
        <v>32</v>
      </c>
      <c r="C21" s="150"/>
      <c r="D21" s="1615"/>
      <c r="E21" s="150"/>
      <c r="F21" s="151" t="s">
        <v>32</v>
      </c>
      <c r="G21" s="122"/>
      <c r="H21" s="123">
        <f>SUM(H2:H20)</f>
        <v>13118086.280385952</v>
      </c>
      <c r="I21" s="123">
        <f t="shared" ref="I21:O21" si="1">SUM(I2:I20)</f>
        <v>598945.19999999995</v>
      </c>
      <c r="J21" s="123">
        <f t="shared" si="1"/>
        <v>0</v>
      </c>
      <c r="K21" s="123">
        <f t="shared" si="1"/>
        <v>13118086.280385952</v>
      </c>
      <c r="L21" s="123">
        <f t="shared" si="1"/>
        <v>9055369.6109090913</v>
      </c>
      <c r="M21" s="123">
        <f t="shared" si="1"/>
        <v>0</v>
      </c>
      <c r="N21" s="123">
        <f t="shared" si="1"/>
        <v>0</v>
      </c>
      <c r="O21" s="123">
        <f t="shared" si="1"/>
        <v>0</v>
      </c>
      <c r="P21" s="52"/>
      <c r="Q21" s="84"/>
    </row>
    <row r="22" spans="1:17" ht="15.75" thickBot="1" x14ac:dyDescent="0.25">
      <c r="A22" s="3145" t="s">
        <v>14</v>
      </c>
      <c r="B22" s="124"/>
      <c r="C22" s="125">
        <v>2</v>
      </c>
      <c r="D22" s="3171" t="s">
        <v>4</v>
      </c>
      <c r="E22" s="1576">
        <v>1</v>
      </c>
      <c r="F22" s="15" t="s">
        <v>86</v>
      </c>
      <c r="G22" s="15">
        <v>2</v>
      </c>
      <c r="H22" s="126">
        <v>456000</v>
      </c>
      <c r="I22" s="126"/>
      <c r="J22" s="127"/>
      <c r="K22" s="127">
        <f>H22</f>
        <v>456000</v>
      </c>
      <c r="L22" s="127"/>
      <c r="M22" s="16"/>
      <c r="N22" s="65" t="s">
        <v>50</v>
      </c>
      <c r="O22" s="16" t="s">
        <v>49</v>
      </c>
    </row>
    <row r="23" spans="1:17" x14ac:dyDescent="0.2">
      <c r="A23" s="3146"/>
      <c r="B23" s="550"/>
      <c r="C23" s="551"/>
      <c r="D23" s="3172"/>
      <c r="E23" s="1577">
        <v>1</v>
      </c>
      <c r="F23" s="15" t="s">
        <v>625</v>
      </c>
      <c r="G23" s="82">
        <v>1</v>
      </c>
      <c r="H23" s="552">
        <f>צרפת!E37</f>
        <v>228000</v>
      </c>
      <c r="I23" s="552"/>
      <c r="J23" s="553">
        <f>H23</f>
        <v>228000</v>
      </c>
      <c r="K23" s="553"/>
      <c r="L23" s="553"/>
      <c r="M23" s="554"/>
      <c r="N23" s="555"/>
      <c r="O23" s="554"/>
    </row>
    <row r="24" spans="1:17" ht="14.25" customHeight="1" x14ac:dyDescent="0.2">
      <c r="A24" s="3147"/>
      <c r="B24" s="38"/>
      <c r="C24" s="13">
        <v>3</v>
      </c>
      <c r="D24" s="3173"/>
      <c r="E24" s="1578">
        <v>2</v>
      </c>
      <c r="F24" s="14" t="s">
        <v>98</v>
      </c>
      <c r="G24" s="14">
        <v>1</v>
      </c>
      <c r="H24" s="50">
        <v>147480</v>
      </c>
      <c r="I24" s="50"/>
      <c r="J24" s="49"/>
      <c r="K24" s="49">
        <f>H24</f>
        <v>147480</v>
      </c>
      <c r="L24" s="49"/>
      <c r="M24" s="17"/>
      <c r="N24" s="30" t="s">
        <v>50</v>
      </c>
      <c r="O24" s="17" t="s">
        <v>49</v>
      </c>
    </row>
    <row r="25" spans="1:17" ht="14.25" customHeight="1" x14ac:dyDescent="0.2">
      <c r="A25" s="3147"/>
      <c r="B25" s="38"/>
      <c r="C25" s="13">
        <v>4</v>
      </c>
      <c r="D25" s="1616" t="s">
        <v>58</v>
      </c>
      <c r="E25" s="1579">
        <v>3</v>
      </c>
      <c r="F25" s="14" t="s">
        <v>56</v>
      </c>
      <c r="G25" s="14">
        <v>125</v>
      </c>
      <c r="H25" s="50">
        <v>2444590</v>
      </c>
      <c r="I25" s="50">
        <v>58824</v>
      </c>
      <c r="J25" s="49">
        <f>H25</f>
        <v>2444590</v>
      </c>
      <c r="K25" s="49"/>
      <c r="L25" s="49"/>
      <c r="M25" s="17"/>
      <c r="N25" s="30" t="s">
        <v>51</v>
      </c>
      <c r="O25" s="17" t="s">
        <v>46</v>
      </c>
    </row>
    <row r="26" spans="1:17" ht="14.25" customHeight="1" x14ac:dyDescent="0.2">
      <c r="A26" s="3147"/>
      <c r="B26" s="38"/>
      <c r="C26" s="13"/>
      <c r="D26" s="3174" t="s">
        <v>29</v>
      </c>
      <c r="E26" s="1579">
        <v>4</v>
      </c>
      <c r="F26" s="35" t="s">
        <v>127</v>
      </c>
      <c r="G26" s="14">
        <v>3</v>
      </c>
      <c r="H26" s="50">
        <v>311904</v>
      </c>
      <c r="I26" s="50"/>
      <c r="J26" s="49"/>
      <c r="K26" s="49">
        <f>H26</f>
        <v>311904</v>
      </c>
      <c r="L26" s="49"/>
      <c r="M26" s="17"/>
      <c r="N26" s="30" t="s">
        <v>50</v>
      </c>
      <c r="O26" s="17" t="s">
        <v>49</v>
      </c>
    </row>
    <row r="27" spans="1:17" ht="14.25" customHeight="1" x14ac:dyDescent="0.2">
      <c r="A27" s="3147"/>
      <c r="B27" s="38"/>
      <c r="C27" s="13"/>
      <c r="D27" s="3174"/>
      <c r="E27" s="1579">
        <v>5</v>
      </c>
      <c r="F27" s="35" t="s">
        <v>135</v>
      </c>
      <c r="G27" s="14">
        <v>10</v>
      </c>
      <c r="H27" s="50">
        <v>303400</v>
      </c>
      <c r="I27" s="50"/>
      <c r="J27" s="49"/>
      <c r="K27" s="49">
        <f>H27</f>
        <v>303400</v>
      </c>
      <c r="L27" s="49"/>
      <c r="M27" s="17"/>
      <c r="N27" s="30" t="s">
        <v>50</v>
      </c>
      <c r="O27" s="17"/>
    </row>
    <row r="28" spans="1:17" ht="14.25" customHeight="1" x14ac:dyDescent="0.2">
      <c r="A28" s="3147"/>
      <c r="B28" s="38"/>
      <c r="C28" s="13"/>
      <c r="D28" s="3174" t="s">
        <v>70</v>
      </c>
      <c r="E28" s="1579">
        <v>6</v>
      </c>
      <c r="F28" s="14" t="s">
        <v>67</v>
      </c>
      <c r="G28" s="14">
        <v>1</v>
      </c>
      <c r="H28" s="50">
        <v>420311.4</v>
      </c>
      <c r="I28" s="50">
        <v>74172.600000000006</v>
      </c>
      <c r="J28" s="49">
        <f>H28</f>
        <v>420311.4</v>
      </c>
      <c r="K28" s="49"/>
      <c r="L28" s="49"/>
      <c r="M28" s="17">
        <v>680000</v>
      </c>
      <c r="N28" s="30"/>
      <c r="O28" s="17"/>
    </row>
    <row r="29" spans="1:17" ht="14.25" customHeight="1" x14ac:dyDescent="0.2">
      <c r="A29" s="3147"/>
      <c r="B29" s="38"/>
      <c r="C29" s="13"/>
      <c r="D29" s="3174"/>
      <c r="E29" s="1579">
        <v>7</v>
      </c>
      <c r="F29" s="14" t="s">
        <v>74</v>
      </c>
      <c r="G29" s="14">
        <v>1</v>
      </c>
      <c r="H29" s="50">
        <v>1169480</v>
      </c>
      <c r="I29" s="50">
        <v>47520</v>
      </c>
      <c r="J29" s="49">
        <f>H29</f>
        <v>1169480</v>
      </c>
      <c r="K29" s="49"/>
      <c r="L29" s="49"/>
      <c r="M29" s="17">
        <v>322480</v>
      </c>
      <c r="N29" s="30" t="s">
        <v>50</v>
      </c>
      <c r="O29" s="17"/>
    </row>
    <row r="30" spans="1:17" ht="28.5" x14ac:dyDescent="0.2">
      <c r="A30" s="3147"/>
      <c r="B30" s="38"/>
      <c r="C30" s="13"/>
      <c r="D30" s="3174"/>
      <c r="E30" s="1579">
        <v>8</v>
      </c>
      <c r="F30" s="168" t="s">
        <v>73</v>
      </c>
      <c r="G30" s="14"/>
      <c r="H30" s="50">
        <v>671220</v>
      </c>
      <c r="I30" s="50"/>
      <c r="J30" s="49">
        <f>H30</f>
        <v>671220</v>
      </c>
      <c r="K30" s="49"/>
      <c r="L30" s="49"/>
      <c r="M30" s="17"/>
      <c r="N30" s="30" t="s">
        <v>50</v>
      </c>
      <c r="O30" s="17"/>
    </row>
    <row r="31" spans="1:17" ht="14.25" customHeight="1" x14ac:dyDescent="0.2">
      <c r="A31" s="3147"/>
      <c r="B31" s="38"/>
      <c r="C31" s="13"/>
      <c r="D31" s="1617" t="s">
        <v>37</v>
      </c>
      <c r="E31" s="1580">
        <v>9</v>
      </c>
      <c r="F31" s="14" t="s">
        <v>178</v>
      </c>
      <c r="G31" s="14">
        <v>8</v>
      </c>
      <c r="H31" s="50">
        <v>187360</v>
      </c>
      <c r="I31" s="50"/>
      <c r="J31" s="49">
        <f>H31</f>
        <v>187360</v>
      </c>
      <c r="K31" s="49"/>
      <c r="L31" s="49"/>
      <c r="M31" s="17"/>
      <c r="N31" s="30" t="s">
        <v>50</v>
      </c>
      <c r="O31" s="17"/>
    </row>
    <row r="32" spans="1:17" ht="14.25" customHeight="1" x14ac:dyDescent="0.2">
      <c r="A32" s="3147"/>
      <c r="B32" s="38"/>
      <c r="C32" s="13"/>
      <c r="D32" s="3175" t="s">
        <v>6</v>
      </c>
      <c r="E32" s="1580">
        <v>10</v>
      </c>
      <c r="F32" s="35" t="s">
        <v>185</v>
      </c>
      <c r="G32" s="14">
        <v>8</v>
      </c>
      <c r="H32" s="50">
        <v>717400</v>
      </c>
      <c r="I32" s="50">
        <v>126600</v>
      </c>
      <c r="J32" s="49"/>
      <c r="K32" s="49">
        <f t="shared" ref="K32:K40" si="2">H32</f>
        <v>717400</v>
      </c>
      <c r="L32" s="49">
        <v>1365500</v>
      </c>
      <c r="M32" s="17"/>
      <c r="N32" s="30" t="s">
        <v>50</v>
      </c>
      <c r="O32" s="17" t="s">
        <v>49</v>
      </c>
    </row>
    <row r="33" spans="1:17" ht="14.25" customHeight="1" x14ac:dyDescent="0.2">
      <c r="A33" s="3147"/>
      <c r="B33" s="38"/>
      <c r="C33" s="13">
        <v>11</v>
      </c>
      <c r="D33" s="3175"/>
      <c r="E33" s="1580">
        <v>11</v>
      </c>
      <c r="F33" s="35" t="s">
        <v>189</v>
      </c>
      <c r="G33" s="14">
        <v>4</v>
      </c>
      <c r="H33" s="50">
        <v>314160</v>
      </c>
      <c r="I33" s="50">
        <v>55440</v>
      </c>
      <c r="J33" s="49"/>
      <c r="K33" s="49">
        <f t="shared" si="2"/>
        <v>314160</v>
      </c>
      <c r="L33" s="49"/>
      <c r="M33" s="17"/>
      <c r="N33" s="30" t="s">
        <v>50</v>
      </c>
      <c r="O33" s="17" t="s">
        <v>49</v>
      </c>
    </row>
    <row r="34" spans="1:17" ht="14.25" customHeight="1" x14ac:dyDescent="0.2">
      <c r="A34" s="3147"/>
      <c r="B34" s="38"/>
      <c r="C34" s="13">
        <v>12</v>
      </c>
      <c r="D34" s="3175"/>
      <c r="E34" s="1580">
        <v>12</v>
      </c>
      <c r="F34" s="35" t="s">
        <v>193</v>
      </c>
      <c r="G34" s="14">
        <v>1</v>
      </c>
      <c r="H34" s="50">
        <v>0</v>
      </c>
      <c r="I34" s="50">
        <v>0</v>
      </c>
      <c r="J34" s="49"/>
      <c r="K34" s="49">
        <f t="shared" si="2"/>
        <v>0</v>
      </c>
      <c r="L34" s="49">
        <v>84500</v>
      </c>
      <c r="M34" s="17"/>
      <c r="N34" s="30" t="s">
        <v>50</v>
      </c>
      <c r="O34" s="17" t="s">
        <v>49</v>
      </c>
    </row>
    <row r="35" spans="1:17" ht="14.25" customHeight="1" x14ac:dyDescent="0.2">
      <c r="A35" s="3147"/>
      <c r="B35" s="38"/>
      <c r="C35" s="13">
        <v>13</v>
      </c>
      <c r="D35" s="3175"/>
      <c r="E35" s="1580">
        <v>13</v>
      </c>
      <c r="F35" s="35" t="s">
        <v>196</v>
      </c>
      <c r="G35" s="14">
        <v>4</v>
      </c>
      <c r="H35" s="50">
        <v>498276.80000000005</v>
      </c>
      <c r="I35" s="50">
        <v>87931.200000000012</v>
      </c>
      <c r="J35" s="49"/>
      <c r="K35" s="49">
        <f t="shared" si="2"/>
        <v>498276.80000000005</v>
      </c>
      <c r="L35" s="49"/>
      <c r="M35" s="17"/>
      <c r="N35" s="30" t="s">
        <v>50</v>
      </c>
      <c r="O35" s="17" t="s">
        <v>49</v>
      </c>
    </row>
    <row r="36" spans="1:17" ht="15" customHeight="1" x14ac:dyDescent="0.2">
      <c r="A36" s="3147"/>
      <c r="B36" s="38"/>
      <c r="C36" s="13">
        <v>14</v>
      </c>
      <c r="D36" s="3175"/>
      <c r="E36" s="1580">
        <v>14</v>
      </c>
      <c r="F36" s="35" t="s">
        <v>201</v>
      </c>
      <c r="G36" s="14">
        <v>2</v>
      </c>
      <c r="H36" s="50">
        <v>186680.4</v>
      </c>
      <c r="I36" s="50">
        <v>32943.599999999999</v>
      </c>
      <c r="J36" s="49"/>
      <c r="K36" s="49">
        <f t="shared" si="2"/>
        <v>186680.4</v>
      </c>
      <c r="L36" s="49"/>
      <c r="M36" s="17"/>
      <c r="N36" s="30" t="s">
        <v>50</v>
      </c>
      <c r="O36" s="17" t="s">
        <v>49</v>
      </c>
    </row>
    <row r="37" spans="1:17" ht="15" customHeight="1" x14ac:dyDescent="0.2">
      <c r="A37" s="3147"/>
      <c r="B37" s="38"/>
      <c r="C37" s="13">
        <v>15</v>
      </c>
      <c r="D37" s="1617" t="s">
        <v>26</v>
      </c>
      <c r="E37" s="1580">
        <v>15</v>
      </c>
      <c r="F37" s="35" t="s">
        <v>206</v>
      </c>
      <c r="G37" s="14">
        <v>2</v>
      </c>
      <c r="H37" s="50">
        <v>336783.3333333332</v>
      </c>
      <c r="I37" s="50">
        <v>0</v>
      </c>
      <c r="J37" s="49"/>
      <c r="K37" s="49">
        <f t="shared" si="2"/>
        <v>336783.3333333332</v>
      </c>
      <c r="L37" s="49"/>
      <c r="M37" s="17"/>
      <c r="N37" s="30" t="s">
        <v>50</v>
      </c>
      <c r="O37" s="17" t="s">
        <v>49</v>
      </c>
    </row>
    <row r="38" spans="1:17" ht="15" customHeight="1" x14ac:dyDescent="0.2">
      <c r="A38" s="3147"/>
      <c r="B38" s="38"/>
      <c r="C38" s="13">
        <v>16</v>
      </c>
      <c r="D38" s="1617"/>
      <c r="E38" s="1580">
        <v>16</v>
      </c>
      <c r="F38" s="35" t="s">
        <v>211</v>
      </c>
      <c r="G38" s="14">
        <v>60</v>
      </c>
      <c r="H38" s="50">
        <v>179136</v>
      </c>
      <c r="I38" s="50">
        <v>0</v>
      </c>
      <c r="J38" s="49"/>
      <c r="K38" s="49">
        <f t="shared" si="2"/>
        <v>179136</v>
      </c>
      <c r="L38" s="49">
        <v>316800</v>
      </c>
      <c r="M38" s="17"/>
      <c r="N38" s="30" t="s">
        <v>50</v>
      </c>
      <c r="O38" s="17" t="s">
        <v>49</v>
      </c>
    </row>
    <row r="39" spans="1:17" ht="15" customHeight="1" x14ac:dyDescent="0.2">
      <c r="A39" s="3147"/>
      <c r="B39" s="38"/>
      <c r="C39" s="14">
        <v>21</v>
      </c>
      <c r="D39" s="1616"/>
      <c r="E39" s="1579">
        <v>17</v>
      </c>
      <c r="F39" s="35" t="s">
        <v>216</v>
      </c>
      <c r="G39" s="14"/>
      <c r="H39" s="50">
        <v>506150</v>
      </c>
      <c r="I39" s="50"/>
      <c r="J39" s="50"/>
      <c r="K39" s="49">
        <f t="shared" si="2"/>
        <v>506150</v>
      </c>
      <c r="L39" s="49"/>
      <c r="M39" s="17"/>
      <c r="N39" s="66" t="s">
        <v>50</v>
      </c>
      <c r="O39" s="43" t="s">
        <v>49</v>
      </c>
    </row>
    <row r="40" spans="1:17" ht="14.25" customHeight="1" x14ac:dyDescent="0.2">
      <c r="A40" s="3147"/>
      <c r="B40" s="38"/>
      <c r="C40" s="13">
        <v>17</v>
      </c>
      <c r="D40" s="1616"/>
      <c r="E40" s="80">
        <v>18</v>
      </c>
      <c r="F40" s="35" t="s">
        <v>222</v>
      </c>
      <c r="G40" s="14">
        <v>15</v>
      </c>
      <c r="H40" s="50">
        <v>33000</v>
      </c>
      <c r="I40" s="50"/>
      <c r="J40" s="49"/>
      <c r="K40" s="49">
        <f t="shared" si="2"/>
        <v>33000</v>
      </c>
      <c r="L40" s="49"/>
      <c r="M40" s="17"/>
      <c r="N40" s="30" t="s">
        <v>51</v>
      </c>
      <c r="O40" s="17" t="s">
        <v>48</v>
      </c>
      <c r="P40" s="53"/>
    </row>
    <row r="41" spans="1:17" x14ac:dyDescent="0.2">
      <c r="A41" s="3147"/>
      <c r="B41" s="38"/>
      <c r="C41" s="14"/>
      <c r="D41" s="1617"/>
      <c r="E41" s="1580"/>
      <c r="F41" s="166" t="s">
        <v>60</v>
      </c>
      <c r="G41" s="14"/>
      <c r="H41" s="50"/>
      <c r="I41" s="77"/>
      <c r="J41" s="50"/>
      <c r="K41" s="50"/>
      <c r="L41" s="50"/>
      <c r="M41" s="43">
        <v>200000</v>
      </c>
      <c r="N41" s="74"/>
      <c r="O41" s="73"/>
    </row>
    <row r="42" spans="1:17" ht="15.75" thickBot="1" x14ac:dyDescent="0.3">
      <c r="A42" s="3148"/>
      <c r="B42" s="56" t="s">
        <v>18</v>
      </c>
      <c r="C42" s="56"/>
      <c r="D42" s="148"/>
      <c r="E42" s="56"/>
      <c r="F42" s="148" t="s">
        <v>18</v>
      </c>
      <c r="G42" s="56"/>
      <c r="H42" s="51">
        <f>SUM(H22:H40)</f>
        <v>9111331.9333333336</v>
      </c>
      <c r="I42" s="51">
        <f>SUM(I22:I41)</f>
        <v>483431.39999999997</v>
      </c>
      <c r="J42" s="51">
        <f>SUM(J22:J41)</f>
        <v>5120961.4000000004</v>
      </c>
      <c r="K42" s="51">
        <f>SUM(K22:K41)</f>
        <v>3990370.5333333327</v>
      </c>
      <c r="L42" s="51">
        <f>SUM(L22:L41)</f>
        <v>1766800</v>
      </c>
      <c r="M42" s="128">
        <f>SUM(M22:M41)</f>
        <v>1202480</v>
      </c>
      <c r="N42" s="31"/>
      <c r="O42" s="20"/>
      <c r="P42" s="53"/>
      <c r="Q42" s="84"/>
    </row>
    <row r="43" spans="1:17" x14ac:dyDescent="0.2">
      <c r="A43" s="3127" t="s">
        <v>22</v>
      </c>
      <c r="B43" s="129"/>
      <c r="C43" s="130">
        <v>2</v>
      </c>
      <c r="D43" s="1618" t="s">
        <v>55</v>
      </c>
      <c r="E43" s="131">
        <v>1</v>
      </c>
      <c r="F43" s="19" t="s">
        <v>415</v>
      </c>
      <c r="G43" s="19">
        <v>2</v>
      </c>
      <c r="H43" s="119">
        <v>495064</v>
      </c>
      <c r="I43" s="119"/>
      <c r="J43" s="119"/>
      <c r="K43" s="119">
        <f>H43</f>
        <v>495064</v>
      </c>
      <c r="L43" s="119"/>
      <c r="M43" s="132"/>
      <c r="N43" s="102" t="s">
        <v>50</v>
      </c>
      <c r="O43" s="28" t="s">
        <v>46</v>
      </c>
    </row>
    <row r="44" spans="1:17" x14ac:dyDescent="0.2">
      <c r="A44" s="3128"/>
      <c r="B44" s="83"/>
      <c r="C44" s="8">
        <v>4</v>
      </c>
      <c r="D44" s="1619" t="s">
        <v>57</v>
      </c>
      <c r="E44" s="1574">
        <v>2</v>
      </c>
      <c r="F44" s="1" t="s">
        <v>57</v>
      </c>
      <c r="G44" s="1">
        <v>15</v>
      </c>
      <c r="H44" s="46">
        <v>302168</v>
      </c>
      <c r="I44" s="46"/>
      <c r="J44" s="46">
        <f>H44</f>
        <v>302168</v>
      </c>
      <c r="K44" s="46"/>
      <c r="L44" s="46"/>
      <c r="M44" s="3"/>
      <c r="N44" s="103" t="s">
        <v>50</v>
      </c>
      <c r="O44" s="3" t="s">
        <v>46</v>
      </c>
    </row>
    <row r="45" spans="1:17" ht="15" customHeight="1" x14ac:dyDescent="0.2">
      <c r="A45" s="3128"/>
      <c r="B45" s="83"/>
      <c r="C45" s="8"/>
      <c r="D45" s="3176" t="s">
        <v>6</v>
      </c>
      <c r="E45" s="1573">
        <v>3</v>
      </c>
      <c r="F45" s="1" t="s">
        <v>63</v>
      </c>
      <c r="G45" s="1">
        <v>0.6</v>
      </c>
      <c r="H45" s="46">
        <v>104652</v>
      </c>
      <c r="I45" s="46">
        <v>18468</v>
      </c>
      <c r="J45" s="46">
        <f>H45</f>
        <v>104652</v>
      </c>
      <c r="K45" s="46"/>
      <c r="L45" s="46"/>
      <c r="M45" s="3">
        <v>225000</v>
      </c>
      <c r="N45" s="103"/>
      <c r="O45" s="3"/>
    </row>
    <row r="46" spans="1:17" ht="15" customHeight="1" x14ac:dyDescent="0.2">
      <c r="A46" s="3128"/>
      <c r="B46" s="83"/>
      <c r="C46" s="8"/>
      <c r="D46" s="3176"/>
      <c r="E46" s="1573">
        <v>9</v>
      </c>
      <c r="F46" s="1" t="s">
        <v>456</v>
      </c>
      <c r="G46" s="1">
        <v>0.5</v>
      </c>
      <c r="H46" s="46">
        <v>74290</v>
      </c>
      <c r="I46" s="46">
        <v>13110</v>
      </c>
      <c r="J46" s="46"/>
      <c r="K46" s="46">
        <f>H46</f>
        <v>74290</v>
      </c>
      <c r="L46" s="46">
        <v>349600</v>
      </c>
      <c r="M46" s="3"/>
      <c r="N46" s="103"/>
      <c r="O46" s="3"/>
    </row>
    <row r="47" spans="1:17" x14ac:dyDescent="0.2">
      <c r="A47" s="3128"/>
      <c r="B47" s="83"/>
      <c r="C47" s="8">
        <v>13</v>
      </c>
      <c r="D47" s="1620"/>
      <c r="E47" s="1573">
        <v>4</v>
      </c>
      <c r="F47" s="1" t="s">
        <v>435</v>
      </c>
      <c r="G47" s="1">
        <v>6</v>
      </c>
      <c r="H47" s="46">
        <v>196000</v>
      </c>
      <c r="I47" s="46"/>
      <c r="J47" s="46">
        <f>H47</f>
        <v>196000</v>
      </c>
      <c r="K47" s="46"/>
      <c r="L47" s="46"/>
      <c r="M47" s="3"/>
      <c r="N47" s="103" t="s">
        <v>50</v>
      </c>
      <c r="O47" s="3"/>
    </row>
    <row r="48" spans="1:17" x14ac:dyDescent="0.2">
      <c r="A48" s="3128"/>
      <c r="B48" s="83"/>
      <c r="C48" s="8">
        <v>10</v>
      </c>
      <c r="D48" s="3177" t="s">
        <v>26</v>
      </c>
      <c r="E48" s="1574">
        <v>5</v>
      </c>
      <c r="F48" s="1" t="s">
        <v>65</v>
      </c>
      <c r="G48" s="1">
        <v>1</v>
      </c>
      <c r="H48" s="46">
        <v>161564.6</v>
      </c>
      <c r="I48" s="46">
        <v>28511.4</v>
      </c>
      <c r="J48" s="46"/>
      <c r="K48" s="46">
        <f>H48</f>
        <v>161564.6</v>
      </c>
      <c r="L48" s="46"/>
      <c r="M48" s="3"/>
      <c r="N48" s="103" t="s">
        <v>50</v>
      </c>
      <c r="O48" s="3" t="s">
        <v>47</v>
      </c>
    </row>
    <row r="49" spans="1:17" x14ac:dyDescent="0.2">
      <c r="A49" s="3128"/>
      <c r="B49" s="83"/>
      <c r="C49" s="8"/>
      <c r="D49" s="3177"/>
      <c r="E49" s="1574">
        <v>6</v>
      </c>
      <c r="F49" s="1" t="s">
        <v>444</v>
      </c>
      <c r="G49" s="1">
        <v>1</v>
      </c>
      <c r="H49" s="46">
        <v>100000</v>
      </c>
      <c r="I49" s="46"/>
      <c r="J49" s="46"/>
      <c r="K49" s="46">
        <f>H49</f>
        <v>100000</v>
      </c>
      <c r="L49" s="46"/>
      <c r="M49" s="3"/>
      <c r="N49" s="103"/>
      <c r="O49" s="3"/>
    </row>
    <row r="50" spans="1:17" x14ac:dyDescent="0.2">
      <c r="A50" s="3128"/>
      <c r="B50" s="83"/>
      <c r="C50" s="8">
        <v>17</v>
      </c>
      <c r="D50" s="1619" t="s">
        <v>28</v>
      </c>
      <c r="E50" s="1574">
        <v>7</v>
      </c>
      <c r="F50" s="1" t="s">
        <v>448</v>
      </c>
      <c r="G50" s="1">
        <v>1</v>
      </c>
      <c r="H50" s="46">
        <v>162210.6</v>
      </c>
      <c r="I50" s="46">
        <v>28625.4</v>
      </c>
      <c r="J50" s="46">
        <f>H50</f>
        <v>162210.6</v>
      </c>
      <c r="K50" s="46"/>
      <c r="L50" s="46"/>
      <c r="M50" s="3"/>
      <c r="N50" s="103" t="s">
        <v>51</v>
      </c>
      <c r="O50" s="3" t="s">
        <v>48</v>
      </c>
    </row>
    <row r="51" spans="1:17" x14ac:dyDescent="0.2">
      <c r="A51" s="3128"/>
      <c r="B51" s="83"/>
      <c r="C51" s="8"/>
      <c r="D51" s="1619" t="s">
        <v>29</v>
      </c>
      <c r="E51" s="1574">
        <v>8</v>
      </c>
      <c r="F51" s="1" t="s">
        <v>5</v>
      </c>
      <c r="G51" s="1">
        <v>1</v>
      </c>
      <c r="H51" s="46">
        <v>271510</v>
      </c>
      <c r="I51" s="46"/>
      <c r="J51" s="46"/>
      <c r="K51" s="46">
        <f>H51</f>
        <v>271510</v>
      </c>
      <c r="L51" s="46"/>
      <c r="M51" s="3"/>
      <c r="N51" s="104"/>
      <c r="O51" s="71"/>
    </row>
    <row r="52" spans="1:17" x14ac:dyDescent="0.2">
      <c r="A52" s="3128"/>
      <c r="B52" s="83"/>
      <c r="C52" s="8"/>
      <c r="D52" s="1619"/>
      <c r="E52" s="1574"/>
      <c r="F52" s="1" t="s">
        <v>60</v>
      </c>
      <c r="G52" s="1"/>
      <c r="H52" s="46"/>
      <c r="I52" s="46"/>
      <c r="J52" s="46"/>
      <c r="K52" s="46"/>
      <c r="L52" s="46"/>
      <c r="M52" s="3"/>
      <c r="N52" s="104"/>
      <c r="O52" s="71"/>
    </row>
    <row r="53" spans="1:17" ht="15.75" thickBot="1" x14ac:dyDescent="0.3">
      <c r="A53" s="3129"/>
      <c r="B53" s="133" t="s">
        <v>24</v>
      </c>
      <c r="C53" s="133"/>
      <c r="D53" s="147"/>
      <c r="E53" s="133"/>
      <c r="F53" s="147" t="s">
        <v>24</v>
      </c>
      <c r="G53" s="133"/>
      <c r="H53" s="134">
        <f>SUM(H43:H51)</f>
        <v>1867459.2000000002</v>
      </c>
      <c r="I53" s="134">
        <f>SUM(I43:I52)</f>
        <v>88714.8</v>
      </c>
      <c r="J53" s="134">
        <f>SUM(J43:J52)</f>
        <v>765030.6</v>
      </c>
      <c r="K53" s="134">
        <f>SUM(K43:K52)</f>
        <v>1102428.6000000001</v>
      </c>
      <c r="L53" s="134">
        <f>SUM(L43:L52)</f>
        <v>349600</v>
      </c>
      <c r="M53" s="135">
        <f>SUM(M43:M52)</f>
        <v>225000</v>
      </c>
      <c r="N53" s="105"/>
      <c r="O53" s="33"/>
      <c r="P53" s="53"/>
      <c r="Q53" s="84"/>
    </row>
    <row r="54" spans="1:17" ht="14.25" x14ac:dyDescent="0.2">
      <c r="A54" s="3115" t="s">
        <v>23</v>
      </c>
      <c r="B54" s="3178"/>
      <c r="C54" s="39">
        <v>2</v>
      </c>
      <c r="D54" s="1621" t="s">
        <v>55</v>
      </c>
      <c r="E54" s="40">
        <v>1</v>
      </c>
      <c r="F54" s="41" t="s">
        <v>415</v>
      </c>
      <c r="G54" s="41">
        <v>2</v>
      </c>
      <c r="H54" s="64">
        <v>495064</v>
      </c>
      <c r="I54" s="64"/>
      <c r="J54" s="64"/>
      <c r="K54" s="64">
        <f>H54</f>
        <v>495064</v>
      </c>
      <c r="L54" s="64">
        <v>0</v>
      </c>
      <c r="M54" s="136">
        <v>0</v>
      </c>
      <c r="N54" s="61" t="s">
        <v>50</v>
      </c>
      <c r="O54" s="25" t="s">
        <v>46</v>
      </c>
    </row>
    <row r="55" spans="1:17" ht="14.25" x14ac:dyDescent="0.2">
      <c r="A55" s="3116"/>
      <c r="B55" s="3179"/>
      <c r="C55" s="26">
        <v>4</v>
      </c>
      <c r="D55" s="1622" t="s">
        <v>57</v>
      </c>
      <c r="E55" s="1575">
        <v>2</v>
      </c>
      <c r="F55" s="23" t="s">
        <v>397</v>
      </c>
      <c r="G55" s="23">
        <v>11</v>
      </c>
      <c r="H55" s="63">
        <v>247141</v>
      </c>
      <c r="I55" s="63"/>
      <c r="J55" s="63">
        <f>H55</f>
        <v>247141</v>
      </c>
      <c r="K55" s="63"/>
      <c r="L55" s="63"/>
      <c r="M55" s="111"/>
      <c r="N55" s="61" t="s">
        <v>50</v>
      </c>
      <c r="O55" s="25" t="s">
        <v>46</v>
      </c>
    </row>
    <row r="56" spans="1:17" ht="14.25" x14ac:dyDescent="0.2">
      <c r="A56" s="3116"/>
      <c r="B56" s="3179"/>
      <c r="C56" s="26"/>
      <c r="D56" s="1622"/>
      <c r="E56" s="1575">
        <v>3</v>
      </c>
      <c r="F56" s="23" t="s">
        <v>62</v>
      </c>
      <c r="G56" s="23">
        <v>5</v>
      </c>
      <c r="H56" s="63">
        <v>154200</v>
      </c>
      <c r="I56" s="63"/>
      <c r="J56" s="63">
        <f>H56</f>
        <v>154200</v>
      </c>
      <c r="K56" s="63"/>
      <c r="L56" s="63"/>
      <c r="M56" s="111"/>
      <c r="N56" s="61"/>
      <c r="O56" s="25"/>
    </row>
    <row r="57" spans="1:17" ht="14.25" x14ac:dyDescent="0.2">
      <c r="A57" s="3116"/>
      <c r="B57" s="3179"/>
      <c r="C57" s="26">
        <v>9</v>
      </c>
      <c r="D57" s="3180" t="s">
        <v>6</v>
      </c>
      <c r="E57" s="1575">
        <v>4</v>
      </c>
      <c r="F57" s="23" t="s">
        <v>63</v>
      </c>
      <c r="G57" s="23">
        <v>0.6</v>
      </c>
      <c r="H57" s="63">
        <v>103020</v>
      </c>
      <c r="I57" s="63">
        <v>18180</v>
      </c>
      <c r="J57" s="63">
        <f>H57</f>
        <v>103020</v>
      </c>
      <c r="K57" s="63"/>
      <c r="L57" s="63"/>
      <c r="M57" s="111">
        <v>71820</v>
      </c>
      <c r="N57" s="61" t="s">
        <v>50</v>
      </c>
      <c r="O57" s="25"/>
    </row>
    <row r="58" spans="1:17" ht="14.25" x14ac:dyDescent="0.2">
      <c r="A58" s="3116"/>
      <c r="B58" s="3179"/>
      <c r="C58" s="26"/>
      <c r="D58" s="3180"/>
      <c r="E58" s="1575">
        <v>9</v>
      </c>
      <c r="F58" s="23" t="s">
        <v>64</v>
      </c>
      <c r="G58" s="23">
        <v>0.5</v>
      </c>
      <c r="H58" s="63">
        <v>62985</v>
      </c>
      <c r="I58" s="63">
        <v>11115</v>
      </c>
      <c r="J58" s="63"/>
      <c r="K58" s="63">
        <f>H58</f>
        <v>62985</v>
      </c>
      <c r="L58" s="63">
        <v>148200</v>
      </c>
      <c r="M58" s="111"/>
      <c r="N58" s="61" t="s">
        <v>50</v>
      </c>
      <c r="O58" s="25" t="s">
        <v>47</v>
      </c>
    </row>
    <row r="59" spans="1:17" ht="14.25" x14ac:dyDescent="0.2">
      <c r="A59" s="3116"/>
      <c r="B59" s="1582"/>
      <c r="C59" s="26"/>
      <c r="D59" s="3180" t="s">
        <v>26</v>
      </c>
      <c r="E59" s="1575">
        <v>5</v>
      </c>
      <c r="F59" s="23" t="s">
        <v>65</v>
      </c>
      <c r="G59" s="23">
        <v>1</v>
      </c>
      <c r="H59" s="63">
        <v>171254.6</v>
      </c>
      <c r="I59" s="63">
        <v>30221.4</v>
      </c>
      <c r="J59" s="63"/>
      <c r="K59" s="63">
        <f>H59</f>
        <v>171254.6</v>
      </c>
      <c r="L59" s="63"/>
      <c r="M59" s="111"/>
      <c r="N59" s="62"/>
      <c r="O59" s="57"/>
    </row>
    <row r="60" spans="1:17" ht="14.25" x14ac:dyDescent="0.2">
      <c r="A60" s="3116"/>
      <c r="B60" s="1582"/>
      <c r="C60" s="26"/>
      <c r="D60" s="3180"/>
      <c r="E60" s="1575">
        <v>6</v>
      </c>
      <c r="F60" s="23" t="s">
        <v>444</v>
      </c>
      <c r="G60" s="23">
        <v>1</v>
      </c>
      <c r="H60" s="63">
        <v>100000</v>
      </c>
      <c r="I60" s="63"/>
      <c r="J60" s="63"/>
      <c r="K60" s="63">
        <f>H60</f>
        <v>100000</v>
      </c>
      <c r="L60" s="63"/>
      <c r="M60" s="111"/>
      <c r="N60" s="62"/>
      <c r="O60" s="57"/>
      <c r="P60" s="53"/>
    </row>
    <row r="61" spans="1:17" ht="14.25" x14ac:dyDescent="0.2">
      <c r="A61" s="3116"/>
      <c r="B61" s="1582"/>
      <c r="C61" s="26"/>
      <c r="D61" s="1622" t="s">
        <v>29</v>
      </c>
      <c r="E61" s="1575">
        <v>8</v>
      </c>
      <c r="F61" s="23" t="s">
        <v>5</v>
      </c>
      <c r="G61" s="23">
        <v>1</v>
      </c>
      <c r="H61" s="63">
        <v>271510</v>
      </c>
      <c r="I61" s="63"/>
      <c r="J61" s="63"/>
      <c r="K61" s="63">
        <f>H61</f>
        <v>271510</v>
      </c>
      <c r="L61" s="63"/>
      <c r="M61" s="111"/>
      <c r="N61" s="62"/>
      <c r="O61" s="57"/>
      <c r="P61" s="53"/>
    </row>
    <row r="62" spans="1:17" ht="14.25" x14ac:dyDescent="0.2">
      <c r="A62" s="3116"/>
      <c r="B62" s="1582"/>
      <c r="C62" s="26"/>
      <c r="D62" s="1622"/>
      <c r="E62" s="1575"/>
      <c r="F62" s="23" t="s">
        <v>60</v>
      </c>
      <c r="G62" s="23"/>
      <c r="H62" s="63"/>
      <c r="I62" s="63"/>
      <c r="J62" s="63"/>
      <c r="K62" s="63"/>
      <c r="L62" s="63"/>
      <c r="M62" s="111">
        <v>20000</v>
      </c>
      <c r="N62" s="62"/>
      <c r="O62" s="57"/>
    </row>
    <row r="63" spans="1:17" ht="15.75" thickBot="1" x14ac:dyDescent="0.3">
      <c r="A63" s="3117"/>
      <c r="B63" s="79" t="s">
        <v>25</v>
      </c>
      <c r="C63" s="79"/>
      <c r="D63" s="146"/>
      <c r="E63" s="79"/>
      <c r="F63" s="146" t="s">
        <v>25</v>
      </c>
      <c r="G63" s="79"/>
      <c r="H63" s="137">
        <f>SUM(H54:H61)</f>
        <v>1605174.6</v>
      </c>
      <c r="I63" s="137">
        <f>SUM(I54:I62)</f>
        <v>59516.4</v>
      </c>
      <c r="J63" s="137">
        <f>SUM(J54:J62)</f>
        <v>504361</v>
      </c>
      <c r="K63" s="137">
        <f>SUM(K54:K62)</f>
        <v>1100813.6000000001</v>
      </c>
      <c r="L63" s="137">
        <f>SUM(L54:L62)</f>
        <v>148200</v>
      </c>
      <c r="M63" s="138">
        <f>SUM(M54:M62)</f>
        <v>91820</v>
      </c>
      <c r="N63" s="32"/>
      <c r="O63" s="27"/>
      <c r="P63" s="53"/>
      <c r="Q63" s="84"/>
    </row>
    <row r="64" spans="1:17" x14ac:dyDescent="0.25">
      <c r="A64" s="3119" t="s">
        <v>16</v>
      </c>
      <c r="B64" s="139"/>
      <c r="C64" s="139"/>
      <c r="D64" s="1623" t="s">
        <v>57</v>
      </c>
      <c r="E64" s="140">
        <v>1</v>
      </c>
      <c r="F64" s="15" t="s">
        <v>397</v>
      </c>
      <c r="G64" s="15">
        <v>16</v>
      </c>
      <c r="H64" s="141">
        <v>416401</v>
      </c>
      <c r="I64" s="141"/>
      <c r="J64" s="141">
        <f>H64</f>
        <v>416401</v>
      </c>
      <c r="K64" s="141"/>
      <c r="L64" s="141"/>
      <c r="M64" s="142"/>
      <c r="N64" s="106" t="s">
        <v>50</v>
      </c>
      <c r="O64" s="42" t="s">
        <v>46</v>
      </c>
    </row>
    <row r="65" spans="1:17" x14ac:dyDescent="0.25">
      <c r="A65" s="3120"/>
      <c r="B65" s="109"/>
      <c r="C65" s="109"/>
      <c r="D65" s="1616"/>
      <c r="E65" s="1579">
        <v>2</v>
      </c>
      <c r="F65" s="14" t="s">
        <v>61</v>
      </c>
      <c r="G65" s="14">
        <v>0.6</v>
      </c>
      <c r="H65" s="78">
        <v>112277.51999999999</v>
      </c>
      <c r="I65" s="78">
        <v>19813.679999999997</v>
      </c>
      <c r="J65" s="78">
        <f>H65</f>
        <v>112277.51999999999</v>
      </c>
      <c r="K65" s="78"/>
      <c r="L65" s="78"/>
      <c r="M65" s="112">
        <v>230186.32</v>
      </c>
      <c r="N65" s="107"/>
      <c r="O65" s="58"/>
    </row>
    <row r="66" spans="1:17" x14ac:dyDescent="0.25">
      <c r="A66" s="3120"/>
      <c r="B66" s="109"/>
      <c r="C66" s="109"/>
      <c r="D66" s="1616" t="s">
        <v>29</v>
      </c>
      <c r="E66" s="1579">
        <v>3</v>
      </c>
      <c r="F66" s="14" t="s">
        <v>62</v>
      </c>
      <c r="G66" s="14">
        <v>5</v>
      </c>
      <c r="H66" s="78">
        <v>129810</v>
      </c>
      <c r="I66" s="78"/>
      <c r="J66" s="78">
        <f>H66</f>
        <v>129810</v>
      </c>
      <c r="K66" s="78"/>
      <c r="L66" s="78"/>
      <c r="M66" s="112"/>
      <c r="N66" s="107"/>
      <c r="O66" s="58"/>
    </row>
    <row r="67" spans="1:17" x14ac:dyDescent="0.25">
      <c r="A67" s="3120"/>
      <c r="B67" s="109"/>
      <c r="C67" s="109"/>
      <c r="D67" s="1616"/>
      <c r="E67" s="1579"/>
      <c r="F67" s="14" t="s">
        <v>60</v>
      </c>
      <c r="G67" s="14"/>
      <c r="H67" s="78"/>
      <c r="I67" s="77"/>
      <c r="J67" s="78"/>
      <c r="K67" s="78"/>
      <c r="L67" s="78"/>
      <c r="M67" s="112">
        <v>150000</v>
      </c>
      <c r="N67" s="107"/>
      <c r="O67" s="58"/>
    </row>
    <row r="68" spans="1:17" ht="15.75" thickBot="1" x14ac:dyDescent="0.3">
      <c r="A68" s="3121"/>
      <c r="B68" s="170"/>
      <c r="C68" s="170"/>
      <c r="D68" s="1624"/>
      <c r="E68" s="171"/>
      <c r="F68" s="98" t="s">
        <v>42</v>
      </c>
      <c r="G68" s="72"/>
      <c r="H68" s="172">
        <f>SUM(H64:H66)</f>
        <v>658488.52</v>
      </c>
      <c r="I68" s="172">
        <f>SUM(I64:I67)</f>
        <v>19813.679999999997</v>
      </c>
      <c r="J68" s="172">
        <f>SUM(J64:J67)</f>
        <v>658488.52</v>
      </c>
      <c r="K68" s="172">
        <f>SUM(K64:K67)</f>
        <v>0</v>
      </c>
      <c r="L68" s="172">
        <f>SUM(L64:L67)</f>
        <v>0</v>
      </c>
      <c r="M68" s="173">
        <f>SUM(M64:M67)</f>
        <v>380186.32</v>
      </c>
      <c r="N68" s="108"/>
      <c r="O68" s="37"/>
      <c r="Q68" s="84"/>
    </row>
    <row r="69" spans="1:17" ht="30.75" customHeight="1" thickBot="1" x14ac:dyDescent="0.3">
      <c r="A69" s="1591" t="s">
        <v>71</v>
      </c>
      <c r="B69" s="1592"/>
      <c r="C69" s="1592"/>
      <c r="D69" s="1625"/>
      <c r="E69" s="1593"/>
      <c r="F69" s="1593"/>
      <c r="G69" s="1594"/>
      <c r="H69" s="1595">
        <v>1097625</v>
      </c>
      <c r="I69" s="1595"/>
      <c r="J69" s="1595">
        <f t="shared" ref="J69:J75" si="3">H69</f>
        <v>1097625</v>
      </c>
      <c r="K69" s="1595"/>
      <c r="L69" s="1595"/>
      <c r="M69" s="1596"/>
      <c r="N69" s="59"/>
      <c r="O69" s="59"/>
    </row>
    <row r="70" spans="1:17" ht="15.75" thickBot="1" x14ac:dyDescent="0.3">
      <c r="A70" s="3168" t="s">
        <v>702</v>
      </c>
      <c r="B70" s="1597"/>
      <c r="C70" s="1597"/>
      <c r="D70" s="1599" t="s">
        <v>57</v>
      </c>
      <c r="E70" s="1598"/>
      <c r="F70" s="1599" t="str">
        <f>'צ.אמריקה '!B53</f>
        <v xml:space="preserve">מרכזי הכנה לעליה - אולפנים </v>
      </c>
      <c r="G70" s="1600">
        <f>'צ.אמריקה '!C28+'צ.אמריקה '!C64</f>
        <v>15</v>
      </c>
      <c r="H70" s="1601">
        <f>'צ.אמריקה '!E69+'צ.אמריקה '!E33</f>
        <v>186699.9</v>
      </c>
      <c r="I70" s="1602"/>
      <c r="J70" s="1601">
        <f t="shared" si="3"/>
        <v>186699.9</v>
      </c>
      <c r="K70" s="1602"/>
      <c r="L70" s="1602"/>
      <c r="M70" s="1589"/>
      <c r="N70" s="59"/>
      <c r="O70" s="59"/>
    </row>
    <row r="71" spans="1:17" ht="15.75" thickBot="1" x14ac:dyDescent="0.3">
      <c r="A71" s="3169"/>
      <c r="B71" s="1603"/>
      <c r="C71" s="1603"/>
      <c r="D71" s="1605" t="s">
        <v>29</v>
      </c>
      <c r="E71" s="1604"/>
      <c r="F71" s="1605" t="str">
        <f>'צ.אמריקה '!B36</f>
        <v xml:space="preserve"> (קבוצות)סמינר לעידוד עליה </v>
      </c>
      <c r="G71" s="1606">
        <f>'צ.אמריקה '!C38</f>
        <v>10</v>
      </c>
      <c r="H71" s="1607">
        <f>'צ.אמריקה '!E41</f>
        <v>81700</v>
      </c>
      <c r="I71" s="1608"/>
      <c r="J71" s="1607">
        <f t="shared" si="3"/>
        <v>81700</v>
      </c>
      <c r="K71" s="1608"/>
      <c r="L71" s="1608"/>
      <c r="M71" s="1590"/>
      <c r="N71" s="59"/>
      <c r="O71" s="59"/>
    </row>
    <row r="72" spans="1:17" ht="15.75" thickBot="1" x14ac:dyDescent="0.3">
      <c r="A72" s="3169"/>
      <c r="B72" s="1603"/>
      <c r="C72" s="1603"/>
      <c r="D72" s="1605" t="s">
        <v>6</v>
      </c>
      <c r="E72" s="1604"/>
      <c r="F72" s="1605" t="str">
        <f>'צ.אמריקה '!B44</f>
        <v>רכז  עידוד עלייה - עובד מקומי</v>
      </c>
      <c r="G72" s="1606">
        <v>0.5</v>
      </c>
      <c r="H72" s="1607">
        <f>'צ.אמריקה '!E49</f>
        <v>53200</v>
      </c>
      <c r="I72" s="1608"/>
      <c r="J72" s="1607">
        <f t="shared" si="3"/>
        <v>53200</v>
      </c>
      <c r="K72" s="1608"/>
      <c r="L72" s="1608"/>
      <c r="M72" s="1590"/>
      <c r="N72" s="59"/>
      <c r="O72" s="59"/>
    </row>
    <row r="73" spans="1:17" ht="15.75" thickBot="1" x14ac:dyDescent="0.3">
      <c r="A73" s="3169"/>
      <c r="B73" s="1603"/>
      <c r="C73" s="1603"/>
      <c r="D73" s="1626"/>
      <c r="E73" s="1604"/>
      <c r="F73" s="1605" t="str">
        <f>'צ.אמריקה '!B73</f>
        <v>עידוד והכנה במסגרת הקהל המסורתי</v>
      </c>
      <c r="G73" s="1606"/>
      <c r="H73" s="1607">
        <f>'צ.אמריקה '!E77</f>
        <v>21850</v>
      </c>
      <c r="I73" s="1608"/>
      <c r="J73" s="1607">
        <f t="shared" si="3"/>
        <v>21850</v>
      </c>
      <c r="K73" s="1608"/>
      <c r="L73" s="1608"/>
      <c r="M73" s="1590"/>
      <c r="N73" s="59"/>
      <c r="O73" s="59"/>
    </row>
    <row r="74" spans="1:17" ht="15.75" thickBot="1" x14ac:dyDescent="0.3">
      <c r="A74" s="3169"/>
      <c r="B74" s="1603"/>
      <c r="C74" s="1603"/>
      <c r="D74" s="1626"/>
      <c r="E74" s="1604"/>
      <c r="F74" s="1605" t="str">
        <f>'צ.אמריקה '!B81</f>
        <v>עידוד והכנה במסגרת קהל הצעירים-רווקים</v>
      </c>
      <c r="G74" s="1606"/>
      <c r="H74" s="1607">
        <f>'צ.אמריקה '!E85</f>
        <v>20900</v>
      </c>
      <c r="I74" s="1608"/>
      <c r="J74" s="1607">
        <f t="shared" si="3"/>
        <v>20900</v>
      </c>
      <c r="K74" s="1608"/>
      <c r="L74" s="1608"/>
      <c r="M74" s="1590"/>
      <c r="N74" s="59"/>
      <c r="O74" s="59"/>
    </row>
    <row r="75" spans="1:17" ht="29.25" thickBot="1" x14ac:dyDescent="0.3">
      <c r="A75" s="3169"/>
      <c r="B75" s="1603"/>
      <c r="C75" s="1603"/>
      <c r="D75" s="1626"/>
      <c r="E75" s="1604"/>
      <c r="F75" s="1605" t="str">
        <f>'צ.אמריקה '!B88</f>
        <v>עידוד והכנה לעלייה תוך יצירת קישור עמוק בין המשפחות בארץ-ובארה"ב</v>
      </c>
      <c r="G75" s="1606"/>
      <c r="H75" s="1607">
        <f>'צ.אמריקה '!E92</f>
        <v>33060</v>
      </c>
      <c r="I75" s="1608"/>
      <c r="J75" s="1607">
        <f t="shared" si="3"/>
        <v>33060</v>
      </c>
      <c r="K75" s="1608"/>
      <c r="L75" s="1608"/>
      <c r="M75" s="1590"/>
      <c r="N75" s="59"/>
      <c r="O75" s="59"/>
    </row>
    <row r="76" spans="1:17" ht="15.75" thickBot="1" x14ac:dyDescent="0.3">
      <c r="A76" s="3170"/>
      <c r="B76" s="1609"/>
      <c r="C76" s="1609"/>
      <c r="D76" s="1627"/>
      <c r="E76" s="1610"/>
      <c r="F76" s="1610"/>
      <c r="G76" s="1611"/>
      <c r="H76" s="1612">
        <f t="shared" ref="H76:M76" si="4">SUM(H70:H75)</f>
        <v>397409.9</v>
      </c>
      <c r="I76" s="1612">
        <f t="shared" si="4"/>
        <v>0</v>
      </c>
      <c r="J76" s="1612">
        <f t="shared" si="4"/>
        <v>397409.9</v>
      </c>
      <c r="K76" s="1612">
        <f t="shared" si="4"/>
        <v>0</v>
      </c>
      <c r="L76" s="1612">
        <f t="shared" si="4"/>
        <v>0</v>
      </c>
      <c r="M76" s="1612">
        <f t="shared" si="4"/>
        <v>0</v>
      </c>
      <c r="N76" s="59"/>
      <c r="O76" s="59"/>
    </row>
    <row r="77" spans="1:17" ht="15.75" thickBot="1" x14ac:dyDescent="0.3">
      <c r="A77" s="174" t="s">
        <v>20</v>
      </c>
      <c r="B77" s="153"/>
      <c r="C77" s="153"/>
      <c r="D77" s="1628"/>
      <c r="E77" s="154"/>
      <c r="F77" s="154"/>
      <c r="G77" s="155"/>
      <c r="H77" s="156">
        <v>1763177</v>
      </c>
      <c r="I77" s="156"/>
      <c r="J77" s="156"/>
      <c r="K77" s="156"/>
      <c r="L77" s="156"/>
      <c r="M77" s="157"/>
      <c r="N77" s="59"/>
      <c r="O77" s="59"/>
    </row>
    <row r="78" spans="1:17" ht="15.75" thickBot="1" x14ac:dyDescent="0.3">
      <c r="A78" s="143"/>
      <c r="B78" s="85" t="s">
        <v>19</v>
      </c>
      <c r="C78" s="85"/>
      <c r="D78" s="1629"/>
      <c r="E78" s="85"/>
      <c r="F78" s="85"/>
      <c r="G78" s="85"/>
      <c r="H78" s="144">
        <f>H21+H42+H53+H63+H68+H69+H76+H77</f>
        <v>29618752.433719285</v>
      </c>
      <c r="I78" s="144">
        <f t="shared" ref="I78:O78" si="5">I21+I42+I53+I63+I68+I69+I76+I77</f>
        <v>1250421.4799999997</v>
      </c>
      <c r="J78" s="144">
        <f t="shared" si="5"/>
        <v>8543876.4199999999</v>
      </c>
      <c r="K78" s="144">
        <f t="shared" si="5"/>
        <v>19311699.013719287</v>
      </c>
      <c r="L78" s="144">
        <f t="shared" si="5"/>
        <v>11319969.610909091</v>
      </c>
      <c r="M78" s="144">
        <f t="shared" si="5"/>
        <v>1899486.32</v>
      </c>
      <c r="N78" s="144">
        <f t="shared" si="5"/>
        <v>0</v>
      </c>
      <c r="O78" s="144">
        <f t="shared" si="5"/>
        <v>0</v>
      </c>
    </row>
    <row r="79" spans="1:17" x14ac:dyDescent="0.2">
      <c r="F79" t="s">
        <v>31</v>
      </c>
      <c r="H79" s="52">
        <f>H81-H78-H89</f>
        <v>-0.10038595151854679</v>
      </c>
      <c r="I79" s="179">
        <f>I78-1317700</f>
        <v>-67278.520000000251</v>
      </c>
      <c r="J79" s="169">
        <f>J78/J80</f>
        <v>0.30257923809719295</v>
      </c>
      <c r="K79" s="169">
        <f>(K78+H89)/J80</f>
        <v>0.69742076190280711</v>
      </c>
      <c r="L79" s="52"/>
      <c r="M79" s="24"/>
      <c r="N79" s="24"/>
      <c r="O79" s="24"/>
    </row>
    <row r="80" spans="1:17" ht="29.25" x14ac:dyDescent="0.25">
      <c r="F80" t="s">
        <v>79</v>
      </c>
      <c r="H80" s="152">
        <f>H81-H78-H89</f>
        <v>-0.10038595151854679</v>
      </c>
      <c r="I80" s="181" t="s">
        <v>81</v>
      </c>
      <c r="J80" s="53">
        <f>SUM(J78:K78,H89)</f>
        <v>28236823.100385953</v>
      </c>
      <c r="M80" t="s">
        <v>78</v>
      </c>
      <c r="Q80" s="53">
        <f>M78+L78+I78+H78</f>
        <v>44088629.844628379</v>
      </c>
    </row>
    <row r="81" spans="1:17" x14ac:dyDescent="0.2">
      <c r="G81" s="158">
        <f>H77/H78</f>
        <v>5.9529077193431083E-2</v>
      </c>
      <c r="H81" s="76">
        <v>30000000</v>
      </c>
      <c r="I81" s="180"/>
      <c r="Q81" s="53">
        <f>M78+L78+I78</f>
        <v>14469877.410909092</v>
      </c>
    </row>
    <row r="82" spans="1:17" x14ac:dyDescent="0.2">
      <c r="H82" s="53">
        <f>H78-H81</f>
        <v>-381247.56628071517</v>
      </c>
      <c r="I82" s="76"/>
    </row>
    <row r="83" spans="1:17" x14ac:dyDescent="0.2">
      <c r="H83" s="53">
        <f>H82+H81</f>
        <v>29618752.433719285</v>
      </c>
      <c r="I83" s="76"/>
      <c r="J83" s="53">
        <f>J80*0.3-J78</f>
        <v>-72829.489884214476</v>
      </c>
      <c r="K83" s="84">
        <f>J80*0.7-K78-H89</f>
        <v>72829.489884213835</v>
      </c>
      <c r="L83" s="24"/>
    </row>
    <row r="84" spans="1:17" x14ac:dyDescent="0.2">
      <c r="H84" s="53">
        <v>0.10038595151854679</v>
      </c>
      <c r="I84" s="76"/>
    </row>
    <row r="85" spans="1:17" x14ac:dyDescent="0.2">
      <c r="F85" t="s">
        <v>77</v>
      </c>
      <c r="H85" s="53">
        <v>63868.745840499803</v>
      </c>
      <c r="I85" s="76"/>
      <c r="J85" s="53">
        <f>J78+K78+H79</f>
        <v>27855575.333333332</v>
      </c>
    </row>
    <row r="86" spans="1:17" x14ac:dyDescent="0.2">
      <c r="I86" s="76"/>
      <c r="J86" s="53">
        <f>0.3-J79</f>
        <v>-2.5792380971929596E-3</v>
      </c>
    </row>
    <row r="87" spans="1:17" x14ac:dyDescent="0.2">
      <c r="H87" s="53">
        <f>H81-H78-H89</f>
        <v>-0.10038595151854679</v>
      </c>
      <c r="I87" s="76"/>
      <c r="J87" s="53">
        <f>J86*J85</f>
        <v>-71846.161118961798</v>
      </c>
    </row>
    <row r="88" spans="1:17" ht="15.75" thickBot="1" x14ac:dyDescent="0.25">
      <c r="I88" s="76"/>
    </row>
    <row r="89" spans="1:17" ht="15.75" thickBot="1" x14ac:dyDescent="0.3">
      <c r="A89" s="86" t="s">
        <v>33</v>
      </c>
      <c r="B89" s="87"/>
      <c r="C89" s="87"/>
      <c r="D89" s="1631"/>
      <c r="E89" s="145"/>
      <c r="F89" s="88"/>
      <c r="G89" s="88"/>
      <c r="H89" s="89">
        <v>381247.66666666669</v>
      </c>
      <c r="I89" s="89">
        <v>67279</v>
      </c>
      <c r="J89" s="89"/>
      <c r="K89" s="89">
        <f>I89</f>
        <v>67279</v>
      </c>
      <c r="L89" s="89"/>
      <c r="M89" s="90"/>
      <c r="N89" s="59"/>
      <c r="O89" s="59"/>
    </row>
    <row r="90" spans="1:17" x14ac:dyDescent="0.2">
      <c r="H90" s="53">
        <f>H78+H89</f>
        <v>30000000.100385953</v>
      </c>
    </row>
  </sheetData>
  <mergeCells count="22">
    <mergeCell ref="A70:A76"/>
    <mergeCell ref="A22:A42"/>
    <mergeCell ref="D22:D24"/>
    <mergeCell ref="D26:D27"/>
    <mergeCell ref="D28:D30"/>
    <mergeCell ref="D32:D36"/>
    <mergeCell ref="A43:A53"/>
    <mergeCell ref="D45:D46"/>
    <mergeCell ref="D48:D49"/>
    <mergeCell ref="A54:A63"/>
    <mergeCell ref="B54:B58"/>
    <mergeCell ref="D57:D58"/>
    <mergeCell ref="D59:D60"/>
    <mergeCell ref="A64:A68"/>
    <mergeCell ref="A2:A21"/>
    <mergeCell ref="B2:B18"/>
    <mergeCell ref="D2:D4"/>
    <mergeCell ref="D5:D7"/>
    <mergeCell ref="D8:D9"/>
    <mergeCell ref="D10:D12"/>
    <mergeCell ref="D13:D14"/>
    <mergeCell ref="D15:D18"/>
  </mergeCells>
  <pageMargins left="0.70866141732283472" right="0.70866141732283472" top="0.74803149606299213" bottom="0.74803149606299213" header="0.31496062992125984" footer="0.31496062992125984"/>
  <pageSetup paperSize="9" scale="66" fitToHeight="0" orientation="landscape" verticalDpi="4294967293" r:id="rId1"/>
  <headerFooter>
    <oddHeader>&amp;L&amp;D&amp;C&amp;F</oddHeader>
    <oddFooter>&amp;L&amp;P&amp;C&amp;A</oddFooter>
  </headerFooter>
  <rowBreaks count="2" manualBreakCount="2">
    <brk id="21" max="16" man="1"/>
    <brk id="42" max="15"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321"/>
  <sheetViews>
    <sheetView rightToLeft="1" topLeftCell="N1" zoomScaleNormal="100" zoomScaleSheetLayoutView="100" workbookViewId="0">
      <pane ySplit="3" topLeftCell="A252" activePane="bottomLeft" state="frozen"/>
      <selection activeCell="A101" sqref="A101"/>
      <selection pane="bottomLeft" activeCell="Q263" sqref="Q263"/>
    </sheetView>
  </sheetViews>
  <sheetFormatPr defaultColWidth="9.125" defaultRowHeight="12.75" x14ac:dyDescent="0.2"/>
  <cols>
    <col min="1" max="1" width="5" style="328" hidden="1" customWidth="1"/>
    <col min="2" max="2" width="28.125" style="1703" hidden="1" customWidth="1"/>
    <col min="3" max="3" width="9.375" style="328" hidden="1" customWidth="1"/>
    <col min="4" max="4" width="19.75" style="2144" hidden="1" customWidth="1"/>
    <col min="5" max="5" width="13.25" style="328" hidden="1" customWidth="1"/>
    <col min="6" max="6" width="13.625" style="328" hidden="1" customWidth="1"/>
    <col min="7" max="7" width="1" style="2145" hidden="1" customWidth="1"/>
    <col min="8" max="8" width="19.25" style="328" hidden="1" customWidth="1"/>
    <col min="9" max="9" width="15.125" style="328" hidden="1" customWidth="1"/>
    <col min="10" max="10" width="1.25" style="327" hidden="1" customWidth="1"/>
    <col min="11" max="11" width="12.375" style="327" hidden="1" customWidth="1"/>
    <col min="12" max="12" width="9.875" style="328" hidden="1" customWidth="1"/>
    <col min="13" max="13" width="9.625" style="328" hidden="1" customWidth="1"/>
    <col min="14" max="14" width="4" style="328" customWidth="1"/>
    <col min="15" max="15" width="29" style="328" customWidth="1"/>
    <col min="16" max="16" width="12.625" style="328" bestFit="1" customWidth="1"/>
    <col min="17" max="17" width="12.625" style="2144" bestFit="1" customWidth="1"/>
    <col min="18" max="18" width="19.5" style="328" bestFit="1" customWidth="1"/>
    <col min="19" max="19" width="12.75" style="328" customWidth="1"/>
    <col min="20" max="20" width="1" style="328" customWidth="1"/>
    <col min="21" max="21" width="11" style="328" customWidth="1"/>
    <col min="22" max="22" width="13.375" style="328" customWidth="1"/>
    <col min="23" max="23" width="2.625" style="328" hidden="1" customWidth="1"/>
    <col min="24" max="24" width="7" style="328" hidden="1" customWidth="1"/>
    <col min="25" max="25" width="10.125" style="328" hidden="1" customWidth="1"/>
    <col min="26" max="26" width="11.5" style="328" hidden="1" customWidth="1"/>
    <col min="27" max="27" width="10.5" style="328" hidden="1" customWidth="1"/>
    <col min="28" max="28" width="2" style="328" hidden="1" customWidth="1"/>
    <col min="29" max="29" width="9.125" style="328" hidden="1" customWidth="1"/>
    <col min="30" max="30" width="14.75" style="328" hidden="1" customWidth="1"/>
    <col min="31" max="34" width="9.125" style="328"/>
    <col min="35" max="35" width="11.25" style="328" bestFit="1" customWidth="1"/>
    <col min="36" max="16384" width="9.125" style="328"/>
  </cols>
  <sheetData>
    <row r="1" spans="1:30" s="2135" customFormat="1" ht="25.5" x14ac:dyDescent="0.2">
      <c r="B1" s="2136"/>
      <c r="D1" s="2137"/>
      <c r="E1" s="2138" t="s">
        <v>75</v>
      </c>
      <c r="F1" s="2138" t="s">
        <v>76</v>
      </c>
      <c r="G1" s="2139"/>
      <c r="J1" s="2140">
        <v>3.8</v>
      </c>
      <c r="K1" s="2141"/>
      <c r="Q1" s="2137"/>
    </row>
    <row r="2" spans="1:30" ht="13.5" customHeight="1" x14ac:dyDescent="0.2">
      <c r="A2" s="2142"/>
      <c r="B2" s="2143"/>
      <c r="C2" s="2142">
        <v>65</v>
      </c>
      <c r="D2" s="2144">
        <v>3.8</v>
      </c>
    </row>
    <row r="3" spans="1:30" ht="13.5" customHeight="1" thickBot="1" x14ac:dyDescent="0.25">
      <c r="A3" s="2146"/>
      <c r="B3" s="2147"/>
      <c r="C3" s="2146"/>
      <c r="D3" s="2148"/>
      <c r="E3" s="2149"/>
      <c r="F3" s="2149"/>
      <c r="H3" s="345"/>
      <c r="I3" s="2149"/>
    </row>
    <row r="4" spans="1:30" s="321" customFormat="1" ht="15.75" customHeight="1" x14ac:dyDescent="0.2">
      <c r="A4" s="2150">
        <v>1.1000000000000001</v>
      </c>
      <c r="B4" s="2138" t="s">
        <v>227</v>
      </c>
      <c r="C4" s="3186" t="s">
        <v>104</v>
      </c>
      <c r="D4" s="3186"/>
      <c r="E4" s="3186"/>
      <c r="F4" s="2151"/>
      <c r="G4" s="2152"/>
      <c r="H4" s="3186" t="s">
        <v>88</v>
      </c>
      <c r="I4" s="3187"/>
      <c r="J4" s="320"/>
      <c r="K4" s="320"/>
      <c r="N4" s="2150">
        <v>1.1000000000000001</v>
      </c>
      <c r="O4" s="2138" t="s">
        <v>227</v>
      </c>
      <c r="P4" s="3185" t="s">
        <v>812</v>
      </c>
      <c r="Q4" s="3186"/>
      <c r="R4" s="3186"/>
      <c r="S4" s="2151"/>
      <c r="T4" s="2152"/>
      <c r="U4" s="3186" t="s">
        <v>88</v>
      </c>
      <c r="V4" s="3187"/>
      <c r="X4" s="3188" t="s">
        <v>506</v>
      </c>
      <c r="Y4" s="3186"/>
      <c r="Z4" s="3186"/>
      <c r="AA4" s="2151"/>
      <c r="AB4" s="2153"/>
      <c r="AC4" s="3189" t="s">
        <v>88</v>
      </c>
      <c r="AD4" s="3190"/>
    </row>
    <row r="5" spans="1:30" s="321" customFormat="1" ht="25.5" x14ac:dyDescent="0.2">
      <c r="A5" s="2154"/>
      <c r="B5" s="2155" t="s">
        <v>228</v>
      </c>
      <c r="C5" s="2155" t="s">
        <v>54</v>
      </c>
      <c r="D5" s="2156" t="s">
        <v>91</v>
      </c>
      <c r="E5" s="2155" t="s">
        <v>92</v>
      </c>
      <c r="F5" s="2155"/>
      <c r="G5" s="357"/>
      <c r="H5" s="2155" t="s">
        <v>54</v>
      </c>
      <c r="I5" s="2157" t="s">
        <v>92</v>
      </c>
      <c r="J5" s="320"/>
      <c r="K5" s="320"/>
      <c r="N5" s="2154"/>
      <c r="O5" s="2155" t="s">
        <v>228</v>
      </c>
      <c r="P5" s="2158" t="s">
        <v>54</v>
      </c>
      <c r="Q5" s="2159" t="s">
        <v>91</v>
      </c>
      <c r="R5" s="2160" t="s">
        <v>92</v>
      </c>
      <c r="S5" s="2160"/>
      <c r="T5" s="357"/>
      <c r="U5" s="2155" t="s">
        <v>54</v>
      </c>
      <c r="V5" s="2157" t="s">
        <v>92</v>
      </c>
      <c r="X5" s="2154" t="s">
        <v>90</v>
      </c>
      <c r="Y5" s="2155" t="s">
        <v>91</v>
      </c>
      <c r="Z5" s="2158" t="s">
        <v>507</v>
      </c>
      <c r="AA5" s="2158"/>
      <c r="AB5" s="2161"/>
      <c r="AC5" s="2162" t="s">
        <v>54</v>
      </c>
      <c r="AD5" s="2163" t="s">
        <v>507</v>
      </c>
    </row>
    <row r="6" spans="1:30" s="321" customFormat="1" ht="25.5" x14ac:dyDescent="0.2">
      <c r="A6" s="314"/>
      <c r="B6" s="315" t="s">
        <v>229</v>
      </c>
      <c r="C6" s="313">
        <v>102</v>
      </c>
      <c r="D6" s="2168">
        <f>E14/C8</f>
        <v>24068.202959173181</v>
      </c>
      <c r="E6" s="2165"/>
      <c r="F6" s="2165"/>
      <c r="G6" s="318"/>
      <c r="H6" s="2165"/>
      <c r="I6" s="2166"/>
      <c r="J6" s="320"/>
      <c r="K6" s="320"/>
      <c r="N6" s="314"/>
      <c r="O6" s="315" t="s">
        <v>229</v>
      </c>
      <c r="P6" s="2167">
        <f>P8*3</f>
        <v>108</v>
      </c>
      <c r="Q6" s="2168">
        <f>R14/P8</f>
        <v>23124.446666666667</v>
      </c>
      <c r="R6" s="2169"/>
      <c r="S6" s="2169"/>
      <c r="T6" s="318"/>
      <c r="U6" s="2165"/>
      <c r="V6" s="2166"/>
      <c r="X6" s="1704">
        <f t="shared" ref="X6:X13" si="0">P6-C6</f>
        <v>6</v>
      </c>
      <c r="Y6" s="1705">
        <f t="shared" ref="Y6:Y8" si="1">Q6-D6</f>
        <v>-943.756292506514</v>
      </c>
      <c r="Z6" s="1705">
        <f t="shared" ref="Z6:Z13" si="2">R6-E6</f>
        <v>0</v>
      </c>
      <c r="AA6" s="1705">
        <f t="shared" ref="AA6:AA13" si="3">F6-S6</f>
        <v>0</v>
      </c>
      <c r="AB6" s="1706">
        <f t="shared" ref="AB6:AB13" si="4">T6-F6</f>
        <v>0</v>
      </c>
      <c r="AC6" s="1705">
        <f t="shared" ref="AC6:AC13" si="5">U6-H6</f>
        <v>0</v>
      </c>
      <c r="AD6" s="1705">
        <f t="shared" ref="AD6:AD13" si="6">V6-I6</f>
        <v>0</v>
      </c>
    </row>
    <row r="7" spans="1:30" s="321" customFormat="1" x14ac:dyDescent="0.2">
      <c r="A7" s="314"/>
      <c r="B7" s="315" t="s">
        <v>230</v>
      </c>
      <c r="C7" s="313">
        <v>50</v>
      </c>
      <c r="D7" s="2164"/>
      <c r="E7" s="2165"/>
      <c r="F7" s="2165"/>
      <c r="G7" s="318"/>
      <c r="H7" s="2165"/>
      <c r="I7" s="2166"/>
      <c r="J7" s="320"/>
      <c r="K7" s="320"/>
      <c r="N7" s="314"/>
      <c r="O7" s="315" t="s">
        <v>230</v>
      </c>
      <c r="P7" s="2170">
        <v>50</v>
      </c>
      <c r="Q7" s="2168"/>
      <c r="R7" s="2169"/>
      <c r="S7" s="2169"/>
      <c r="T7" s="318"/>
      <c r="U7" s="2165"/>
      <c r="V7" s="2166"/>
      <c r="X7" s="1704">
        <f t="shared" si="0"/>
        <v>0</v>
      </c>
      <c r="Y7" s="1705">
        <f t="shared" si="1"/>
        <v>0</v>
      </c>
      <c r="Z7" s="1705">
        <f t="shared" si="2"/>
        <v>0</v>
      </c>
      <c r="AA7" s="1705">
        <f t="shared" si="3"/>
        <v>0</v>
      </c>
      <c r="AB7" s="1706">
        <f t="shared" si="4"/>
        <v>0</v>
      </c>
      <c r="AC7" s="1705">
        <f t="shared" si="5"/>
        <v>0</v>
      </c>
      <c r="AD7" s="1705">
        <f t="shared" si="6"/>
        <v>0</v>
      </c>
    </row>
    <row r="8" spans="1:30" s="321" customFormat="1" x14ac:dyDescent="0.2">
      <c r="A8" s="314"/>
      <c r="B8" s="356" t="s">
        <v>231</v>
      </c>
      <c r="C8" s="313">
        <f>C6/3</f>
        <v>34</v>
      </c>
      <c r="D8" s="2164"/>
      <c r="E8" s="2165"/>
      <c r="F8" s="2165"/>
      <c r="G8" s="318"/>
      <c r="H8" s="2165"/>
      <c r="I8" s="2166"/>
      <c r="J8" s="320"/>
      <c r="K8" s="320"/>
      <c r="N8" s="314"/>
      <c r="O8" s="356" t="s">
        <v>231</v>
      </c>
      <c r="P8" s="2170">
        <v>36</v>
      </c>
      <c r="Q8" s="2168"/>
      <c r="R8" s="2169"/>
      <c r="S8" s="2169"/>
      <c r="T8" s="318"/>
      <c r="U8" s="2165"/>
      <c r="V8" s="2166"/>
      <c r="X8" s="1704">
        <f t="shared" si="0"/>
        <v>2</v>
      </c>
      <c r="Y8" s="1705">
        <f t="shared" si="1"/>
        <v>0</v>
      </c>
      <c r="Z8" s="1705">
        <f t="shared" si="2"/>
        <v>0</v>
      </c>
      <c r="AA8" s="1705">
        <f t="shared" si="3"/>
        <v>0</v>
      </c>
      <c r="AB8" s="1706">
        <f t="shared" si="4"/>
        <v>0</v>
      </c>
      <c r="AC8" s="1705">
        <f t="shared" si="5"/>
        <v>0</v>
      </c>
      <c r="AD8" s="1705">
        <f t="shared" si="6"/>
        <v>0</v>
      </c>
    </row>
    <row r="9" spans="1:30" s="2145" customFormat="1" ht="38.25" x14ac:dyDescent="0.2">
      <c r="A9" s="295"/>
      <c r="B9" s="2844" t="s">
        <v>862</v>
      </c>
      <c r="C9" s="296">
        <f>$C$6</f>
        <v>102</v>
      </c>
      <c r="D9" s="1640">
        <f>'[1]חמ"ע'!$D$9+'[1]חמ"ע'!$D$13</f>
        <v>1539.9173205471002</v>
      </c>
      <c r="E9" s="298">
        <f>D9*C9</f>
        <v>157071.56669580421</v>
      </c>
      <c r="F9" s="298"/>
      <c r="G9" s="318"/>
      <c r="H9" s="2165"/>
      <c r="I9" s="2166"/>
      <c r="J9" s="1846"/>
      <c r="K9" s="1846"/>
      <c r="N9" s="295"/>
      <c r="O9" s="2822" t="s">
        <v>862</v>
      </c>
      <c r="P9" s="2171">
        <f>$P$8</f>
        <v>36</v>
      </c>
      <c r="Q9" s="2172">
        <f>2574.93+382.03*3</f>
        <v>3721.0199999999995</v>
      </c>
      <c r="R9" s="2173">
        <f>P9*Q9</f>
        <v>133956.71999999997</v>
      </c>
      <c r="S9" s="1711"/>
      <c r="T9" s="318"/>
      <c r="U9" s="2165"/>
      <c r="V9" s="2174"/>
      <c r="X9" s="1704">
        <f t="shared" si="0"/>
        <v>-66</v>
      </c>
      <c r="Y9" s="1705">
        <f>Q9/3-D9</f>
        <v>-299.57732054710027</v>
      </c>
      <c r="Z9" s="1705">
        <f t="shared" si="2"/>
        <v>-23114.846695804241</v>
      </c>
      <c r="AA9" s="1705">
        <f t="shared" si="3"/>
        <v>0</v>
      </c>
      <c r="AB9" s="1706">
        <f t="shared" si="4"/>
        <v>0</v>
      </c>
      <c r="AC9" s="1705">
        <f t="shared" si="5"/>
        <v>0</v>
      </c>
      <c r="AD9" s="1705">
        <f t="shared" si="6"/>
        <v>0</v>
      </c>
    </row>
    <row r="10" spans="1:30" s="2145" customFormat="1" ht="38.25" x14ac:dyDescent="0.2">
      <c r="A10" s="299"/>
      <c r="B10" s="1837" t="s">
        <v>232</v>
      </c>
      <c r="C10" s="300">
        <f>2*C6</f>
        <v>204</v>
      </c>
      <c r="D10" s="1640">
        <v>2826.5294117647059</v>
      </c>
      <c r="E10" s="298">
        <f>D10*C10</f>
        <v>576612</v>
      </c>
      <c r="F10" s="298"/>
      <c r="G10" s="318"/>
      <c r="H10" s="2165"/>
      <c r="I10" s="2166"/>
      <c r="J10" s="1846"/>
      <c r="K10" s="1846"/>
      <c r="M10" s="2175"/>
      <c r="N10" s="299"/>
      <c r="O10" s="1837" t="s">
        <v>232</v>
      </c>
      <c r="P10" s="2171">
        <f>P9*2</f>
        <v>72</v>
      </c>
      <c r="Q10" s="2172">
        <f>2826.53*3</f>
        <v>8479.59</v>
      </c>
      <c r="R10" s="2173">
        <f>P10*Q10</f>
        <v>610530.48</v>
      </c>
      <c r="S10" s="1711"/>
      <c r="T10" s="318"/>
      <c r="U10" s="2165"/>
      <c r="V10" s="2174"/>
      <c r="W10" s="2175"/>
      <c r="X10" s="1704">
        <f t="shared" si="0"/>
        <v>-132</v>
      </c>
      <c r="Y10" s="1705">
        <f t="shared" ref="Y10:Y12" si="7">Q10/3-D10</f>
        <v>5.8823529434448574E-4</v>
      </c>
      <c r="Z10" s="1705">
        <f t="shared" si="2"/>
        <v>33918.479999999981</v>
      </c>
      <c r="AA10" s="1705">
        <f t="shared" si="3"/>
        <v>0</v>
      </c>
      <c r="AB10" s="1706">
        <f t="shared" si="4"/>
        <v>0</v>
      </c>
      <c r="AC10" s="1705">
        <f t="shared" si="5"/>
        <v>0</v>
      </c>
      <c r="AD10" s="1705">
        <f t="shared" si="6"/>
        <v>0</v>
      </c>
    </row>
    <row r="11" spans="1:30" s="2145" customFormat="1" ht="25.5" x14ac:dyDescent="0.2">
      <c r="A11" s="299"/>
      <c r="B11" s="315" t="s">
        <v>233</v>
      </c>
      <c r="C11" s="296">
        <f>C6</f>
        <v>102</v>
      </c>
      <c r="D11" s="1640">
        <v>661.64705882352939</v>
      </c>
      <c r="E11" s="298">
        <f>D11*C11</f>
        <v>67488</v>
      </c>
      <c r="F11" s="298"/>
      <c r="G11" s="318"/>
      <c r="H11" s="2165"/>
      <c r="I11" s="2166"/>
      <c r="J11" s="1846"/>
      <c r="K11" s="1846"/>
      <c r="N11" s="299"/>
      <c r="O11" s="315" t="s">
        <v>233</v>
      </c>
      <c r="P11" s="2171">
        <f>$P$8</f>
        <v>36</v>
      </c>
      <c r="Q11" s="2172">
        <f>8*10*3.8*3</f>
        <v>912</v>
      </c>
      <c r="R11" s="2173">
        <f>P11*Q11</f>
        <v>32832</v>
      </c>
      <c r="S11" s="1711"/>
      <c r="T11" s="318"/>
      <c r="U11" s="2165"/>
      <c r="V11" s="2174"/>
      <c r="W11" s="2175"/>
      <c r="X11" s="1704">
        <f t="shared" si="0"/>
        <v>-66</v>
      </c>
      <c r="Y11" s="1705">
        <f t="shared" si="7"/>
        <v>-357.64705882352939</v>
      </c>
      <c r="Z11" s="2173">
        <f t="shared" si="2"/>
        <v>-34656</v>
      </c>
      <c r="AA11" s="1705">
        <f t="shared" si="3"/>
        <v>0</v>
      </c>
      <c r="AB11" s="1706">
        <f t="shared" si="4"/>
        <v>0</v>
      </c>
      <c r="AC11" s="1705">
        <f t="shared" si="5"/>
        <v>0</v>
      </c>
      <c r="AD11" s="1705">
        <f t="shared" si="6"/>
        <v>0</v>
      </c>
    </row>
    <row r="12" spans="1:30" s="2145" customFormat="1" x14ac:dyDescent="0.2">
      <c r="A12" s="299"/>
      <c r="B12" s="315" t="s">
        <v>234</v>
      </c>
      <c r="C12" s="296">
        <f>1*C6</f>
        <v>102</v>
      </c>
      <c r="D12" s="1640">
        <v>168.11111682435214</v>
      </c>
      <c r="E12" s="298">
        <f>D12*C12</f>
        <v>17147.333916083917</v>
      </c>
      <c r="F12" s="298"/>
      <c r="G12" s="318"/>
      <c r="H12" s="2165"/>
      <c r="I12" s="2166"/>
      <c r="J12" s="1846"/>
      <c r="K12" s="1846"/>
      <c r="N12" s="299"/>
      <c r="O12" s="315" t="s">
        <v>234</v>
      </c>
      <c r="P12" s="2171">
        <f>$P$8</f>
        <v>36</v>
      </c>
      <c r="Q12" s="2172">
        <f>168.11*3</f>
        <v>504.33000000000004</v>
      </c>
      <c r="R12" s="2173">
        <f>P12*Q12</f>
        <v>18155.88</v>
      </c>
      <c r="S12" s="1711"/>
      <c r="T12" s="318"/>
      <c r="U12" s="2165"/>
      <c r="V12" s="2174"/>
      <c r="X12" s="1704">
        <f t="shared" si="0"/>
        <v>-66</v>
      </c>
      <c r="Y12" s="1705">
        <f t="shared" si="7"/>
        <v>-1.1168243521240129E-3</v>
      </c>
      <c r="Z12" s="1705">
        <f t="shared" si="2"/>
        <v>1008.5460839160842</v>
      </c>
      <c r="AA12" s="1705">
        <f t="shared" si="3"/>
        <v>0</v>
      </c>
      <c r="AB12" s="2176">
        <f t="shared" si="4"/>
        <v>0</v>
      </c>
      <c r="AC12" s="1705">
        <f t="shared" si="5"/>
        <v>0</v>
      </c>
      <c r="AD12" s="1705">
        <f t="shared" si="6"/>
        <v>0</v>
      </c>
    </row>
    <row r="13" spans="1:30" s="2145" customFormat="1" ht="25.5" x14ac:dyDescent="0.2">
      <c r="A13" s="604"/>
      <c r="B13" s="315" t="s">
        <v>627</v>
      </c>
      <c r="C13" s="605"/>
      <c r="D13" s="1644"/>
      <c r="E13" s="607"/>
      <c r="F13" s="607"/>
      <c r="G13" s="1825"/>
      <c r="H13" s="2177"/>
      <c r="I13" s="2178"/>
      <c r="J13" s="1846"/>
      <c r="K13" s="1846"/>
      <c r="N13" s="295"/>
      <c r="O13" s="315" t="s">
        <v>627</v>
      </c>
      <c r="P13" s="2179">
        <v>15</v>
      </c>
      <c r="Q13" s="2172">
        <f>2467</f>
        <v>2467</v>
      </c>
      <c r="R13" s="2173">
        <f>P13*Q13</f>
        <v>37005</v>
      </c>
      <c r="S13" s="1711"/>
      <c r="T13" s="318"/>
      <c r="U13" s="2165"/>
      <c r="V13" s="2174"/>
      <c r="X13" s="2173">
        <f t="shared" si="0"/>
        <v>15</v>
      </c>
      <c r="Y13" s="1705">
        <f>Q13-D13</f>
        <v>2467</v>
      </c>
      <c r="Z13" s="2173">
        <f t="shared" si="2"/>
        <v>37005</v>
      </c>
      <c r="AA13" s="1705">
        <f t="shared" si="3"/>
        <v>0</v>
      </c>
      <c r="AB13" s="2176">
        <f t="shared" si="4"/>
        <v>0</v>
      </c>
      <c r="AC13" s="1705">
        <f t="shared" si="5"/>
        <v>0</v>
      </c>
      <c r="AD13" s="1705">
        <f t="shared" si="6"/>
        <v>0</v>
      </c>
    </row>
    <row r="14" spans="1:30" ht="13.5" thickBot="1" x14ac:dyDescent="0.25">
      <c r="A14" s="1785"/>
      <c r="B14" s="1786" t="s">
        <v>13</v>
      </c>
      <c r="C14" s="1787"/>
      <c r="D14" s="1788"/>
      <c r="E14" s="2180">
        <f>SUM(E6:E12)</f>
        <v>818318.90061188815</v>
      </c>
      <c r="F14" s="2180"/>
      <c r="G14" s="1790"/>
      <c r="H14" s="1790"/>
      <c r="I14" s="1791">
        <v>0</v>
      </c>
      <c r="J14" s="327">
        <v>818318.90061188815</v>
      </c>
      <c r="N14" s="1855"/>
      <c r="O14" s="1856" t="s">
        <v>13</v>
      </c>
      <c r="P14" s="1848"/>
      <c r="Q14" s="1861"/>
      <c r="R14" s="1849">
        <f>SUM(R9:R13)</f>
        <v>832480.08</v>
      </c>
      <c r="S14" s="1849">
        <f>SUM(S9:S13)</f>
        <v>0</v>
      </c>
      <c r="T14" s="318"/>
      <c r="U14" s="318"/>
      <c r="V14" s="1860">
        <v>0</v>
      </c>
      <c r="X14" s="2181">
        <f>P14-C14</f>
        <v>0</v>
      </c>
      <c r="Y14" s="2182"/>
      <c r="Z14" s="2183">
        <f>SUM(Z6:Z13)</f>
        <v>14161.179388111825</v>
      </c>
      <c r="AA14" s="2183">
        <f>SUM(AA6:AA13)</f>
        <v>0</v>
      </c>
      <c r="AB14" s="2183">
        <f>SUM(AB6:AB13)</f>
        <v>0</v>
      </c>
      <c r="AC14" s="2183">
        <f>SUM(AC6:AC13)</f>
        <v>0</v>
      </c>
      <c r="AD14" s="2183">
        <f>SUM(AD6:AD13)</f>
        <v>0</v>
      </c>
    </row>
    <row r="15" spans="1:30" s="1718" customFormat="1" ht="13.5" customHeight="1" x14ac:dyDescent="0.2">
      <c r="B15" s="1718" t="s">
        <v>236</v>
      </c>
      <c r="D15" s="2184"/>
      <c r="E15" s="2275">
        <f>-E14+'[2]חמ"ע'!$E$17</f>
        <v>0</v>
      </c>
      <c r="N15" s="2660"/>
      <c r="O15" s="2634" t="s">
        <v>236</v>
      </c>
      <c r="P15" s="2634"/>
      <c r="Q15" s="2661"/>
      <c r="R15" s="2662">
        <f>-R14+'[2]חמ"ע'!$R$17</f>
        <v>0</v>
      </c>
      <c r="S15" s="2802"/>
      <c r="T15" s="2634"/>
      <c r="U15" s="2634"/>
      <c r="V15" s="2663"/>
      <c r="X15" s="2186"/>
      <c r="Y15" s="2186"/>
      <c r="Z15" s="2186"/>
      <c r="AA15" s="2186"/>
      <c r="AB15" s="2187"/>
      <c r="AC15" s="2188"/>
      <c r="AD15" s="2188"/>
    </row>
    <row r="16" spans="1:30" s="1718" customFormat="1" ht="13.5" customHeight="1" x14ac:dyDescent="0.2">
      <c r="B16" s="1718" t="s">
        <v>237</v>
      </c>
      <c r="D16" s="2184"/>
      <c r="N16" s="2660"/>
      <c r="O16" s="2634" t="s">
        <v>237</v>
      </c>
      <c r="P16" s="2634"/>
      <c r="Q16" s="2661"/>
      <c r="R16" s="2634"/>
      <c r="S16" s="2802"/>
      <c r="T16" s="2634"/>
      <c r="U16" s="2634"/>
      <c r="V16" s="2663"/>
      <c r="X16" s="2186"/>
      <c r="Y16" s="2186"/>
      <c r="Z16" s="2186"/>
      <c r="AA16" s="2186"/>
      <c r="AB16" s="2187"/>
      <c r="AC16" s="2188"/>
      <c r="AD16" s="2188"/>
    </row>
    <row r="17" spans="1:34" s="1718" customFormat="1" ht="13.5" customHeight="1" x14ac:dyDescent="0.2">
      <c r="B17" s="1718" t="s">
        <v>238</v>
      </c>
      <c r="D17" s="2184"/>
      <c r="N17" s="2660"/>
      <c r="O17" s="2634" t="s">
        <v>238</v>
      </c>
      <c r="P17" s="2634"/>
      <c r="Q17" s="2661"/>
      <c r="R17" s="2634"/>
      <c r="S17" s="2634"/>
      <c r="T17" s="2634"/>
      <c r="U17" s="2634"/>
      <c r="V17" s="2663"/>
      <c r="X17" s="2186"/>
      <c r="Y17" s="2186"/>
      <c r="Z17" s="2186"/>
      <c r="AA17" s="2186"/>
      <c r="AB17" s="2187"/>
      <c r="AC17" s="2188"/>
      <c r="AD17" s="2188"/>
    </row>
    <row r="18" spans="1:34" s="1718" customFormat="1" ht="13.5" customHeight="1" thickBot="1" x14ac:dyDescent="0.25">
      <c r="B18" s="1718" t="s">
        <v>239</v>
      </c>
      <c r="D18" s="2184"/>
      <c r="I18" s="1718" t="s">
        <v>240</v>
      </c>
      <c r="N18" s="2664"/>
      <c r="O18" s="2665" t="s">
        <v>239</v>
      </c>
      <c r="P18" s="2665"/>
      <c r="Q18" s="2666"/>
      <c r="R18" s="2665"/>
      <c r="S18" s="2665"/>
      <c r="T18" s="2665"/>
      <c r="U18" s="2665"/>
      <c r="V18" s="2667"/>
      <c r="X18" s="2186"/>
      <c r="Y18" s="2186"/>
      <c r="Z18" s="2186"/>
      <c r="AA18" s="2186"/>
      <c r="AB18" s="2187"/>
      <c r="AC18" s="2188"/>
      <c r="AD18" s="2188"/>
    </row>
    <row r="19" spans="1:34" s="1718" customFormat="1" ht="13.5" customHeight="1" x14ac:dyDescent="0.2">
      <c r="B19" s="1703"/>
      <c r="D19" s="2184"/>
      <c r="O19" s="2950" t="s">
        <v>898</v>
      </c>
      <c r="P19" s="2950"/>
      <c r="Q19" s="2184"/>
      <c r="X19" s="2189"/>
      <c r="Y19" s="2189"/>
      <c r="Z19" s="2190"/>
      <c r="AA19" s="2190"/>
      <c r="AB19" s="2190"/>
      <c r="AC19" s="2190"/>
      <c r="AD19" s="2190"/>
    </row>
    <row r="20" spans="1:34" s="2145" customFormat="1" ht="13.5" customHeight="1" thickBot="1" x14ac:dyDescent="0.25">
      <c r="A20" s="2191"/>
      <c r="B20" s="2191"/>
      <c r="C20" s="2191"/>
      <c r="D20" s="2192"/>
      <c r="E20" s="2191"/>
      <c r="F20" s="2191"/>
      <c r="G20" s="2191"/>
      <c r="H20" s="2191"/>
      <c r="I20" s="2191"/>
      <c r="J20" s="1846"/>
      <c r="K20" s="1846"/>
      <c r="Q20" s="2192"/>
    </row>
    <row r="21" spans="1:34" s="2145" customFormat="1" ht="13.5" customHeight="1" x14ac:dyDescent="0.2">
      <c r="A21" s="2193">
        <v>1.2</v>
      </c>
      <c r="B21" s="2194" t="s">
        <v>241</v>
      </c>
      <c r="C21" s="3186" t="s">
        <v>104</v>
      </c>
      <c r="D21" s="3186"/>
      <c r="E21" s="3186"/>
      <c r="F21" s="2151"/>
      <c r="G21" s="2152"/>
      <c r="H21" s="3186" t="s">
        <v>88</v>
      </c>
      <c r="I21" s="3187"/>
      <c r="J21" s="1846"/>
      <c r="K21" s="1846"/>
      <c r="N21" s="2193">
        <v>1.2</v>
      </c>
      <c r="O21" s="2194" t="s">
        <v>241</v>
      </c>
      <c r="P21" s="3185" t="s">
        <v>812</v>
      </c>
      <c r="Q21" s="3186"/>
      <c r="R21" s="3186"/>
      <c r="S21" s="2151"/>
      <c r="T21" s="2152"/>
      <c r="U21" s="3186" t="s">
        <v>88</v>
      </c>
      <c r="V21" s="3187"/>
      <c r="X21" s="3188" t="s">
        <v>506</v>
      </c>
      <c r="Y21" s="3186"/>
      <c r="Z21" s="3186"/>
      <c r="AA21" s="2151"/>
      <c r="AB21" s="2153"/>
      <c r="AC21" s="3189" t="s">
        <v>88</v>
      </c>
      <c r="AD21" s="3190"/>
    </row>
    <row r="22" spans="1:34" s="2145" customFormat="1" ht="25.5" x14ac:dyDescent="0.2">
      <c r="A22" s="2195"/>
      <c r="B22" s="2155" t="s">
        <v>89</v>
      </c>
      <c r="C22" s="2196" t="s">
        <v>54</v>
      </c>
      <c r="D22" s="2156" t="s">
        <v>91</v>
      </c>
      <c r="E22" s="2196" t="s">
        <v>92</v>
      </c>
      <c r="F22" s="2196"/>
      <c r="G22" s="357"/>
      <c r="H22" s="2196" t="s">
        <v>92</v>
      </c>
      <c r="I22" s="2157" t="s">
        <v>92</v>
      </c>
      <c r="J22" s="1846"/>
      <c r="K22" s="1846"/>
      <c r="N22" s="2195"/>
      <c r="O22" s="2155" t="s">
        <v>89</v>
      </c>
      <c r="P22" s="2158" t="s">
        <v>54</v>
      </c>
      <c r="Q22" s="2159" t="s">
        <v>91</v>
      </c>
      <c r="R22" s="2160" t="s">
        <v>92</v>
      </c>
      <c r="S22" s="2160"/>
      <c r="T22" s="357"/>
      <c r="U22" s="2196" t="s">
        <v>92</v>
      </c>
      <c r="V22" s="2157" t="s">
        <v>92</v>
      </c>
      <c r="X22" s="2154" t="s">
        <v>90</v>
      </c>
      <c r="Y22" s="2155" t="s">
        <v>91</v>
      </c>
      <c r="Z22" s="2158" t="s">
        <v>507</v>
      </c>
      <c r="AA22" s="2158"/>
      <c r="AB22" s="2161"/>
      <c r="AC22" s="2162" t="s">
        <v>54</v>
      </c>
      <c r="AD22" s="2163" t="s">
        <v>507</v>
      </c>
    </row>
    <row r="23" spans="1:34" s="2204" customFormat="1" x14ac:dyDescent="0.2">
      <c r="A23" s="2197"/>
      <c r="B23" s="2198" t="s">
        <v>242</v>
      </c>
      <c r="C23" s="2199">
        <v>13</v>
      </c>
      <c r="D23" s="1639"/>
      <c r="E23" s="2199"/>
      <c r="F23" s="2199"/>
      <c r="G23" s="2200"/>
      <c r="H23" s="2201" t="s">
        <v>243</v>
      </c>
      <c r="I23" s="2202"/>
      <c r="J23" s="2203"/>
      <c r="K23" s="2203" t="s">
        <v>244</v>
      </c>
      <c r="N23" s="2197"/>
      <c r="O23" s="2205" t="s">
        <v>799</v>
      </c>
      <c r="P23" s="2206">
        <v>13</v>
      </c>
      <c r="Q23" s="2207"/>
      <c r="R23" s="1711"/>
      <c r="S23" s="1711"/>
      <c r="T23" s="2200"/>
      <c r="U23" s="2201"/>
      <c r="V23" s="2202"/>
      <c r="X23" s="2208">
        <f t="shared" ref="X23:X38" si="8">P23-C23</f>
        <v>0</v>
      </c>
      <c r="Y23" s="2209">
        <f t="shared" ref="Y23:Y38" si="9">Q23-D23</f>
        <v>0</v>
      </c>
      <c r="Z23" s="2209">
        <f t="shared" ref="Z23:Z38" si="10">R23-E23</f>
        <v>0</v>
      </c>
      <c r="AA23" s="2209">
        <f t="shared" ref="AA23:AA38" si="11">S23-F23</f>
        <v>0</v>
      </c>
      <c r="AB23" s="2210">
        <f t="shared" ref="AB23:AB29" si="12">T23-F23</f>
        <v>0</v>
      </c>
      <c r="AC23" s="2209"/>
      <c r="AD23" s="2209">
        <f t="shared" ref="AD23:AD31" si="13">V23-I23</f>
        <v>0</v>
      </c>
    </row>
    <row r="24" spans="1:34" s="2204" customFormat="1" x14ac:dyDescent="0.2">
      <c r="A24" s="2197"/>
      <c r="B24" s="2198" t="s">
        <v>245</v>
      </c>
      <c r="C24" s="2211">
        <v>1000</v>
      </c>
      <c r="D24" s="2212"/>
      <c r="E24" s="2199"/>
      <c r="F24" s="2199"/>
      <c r="G24" s="2200"/>
      <c r="H24" s="2201"/>
      <c r="I24" s="2202"/>
      <c r="J24" s="2203"/>
      <c r="K24" s="2203"/>
      <c r="N24" s="2197"/>
      <c r="O24" s="2198" t="s">
        <v>245</v>
      </c>
      <c r="P24" s="2213">
        <v>1000</v>
      </c>
      <c r="Q24" s="2207"/>
      <c r="R24" s="2214"/>
      <c r="S24" s="2214"/>
      <c r="T24" s="2200"/>
      <c r="U24" s="2201"/>
      <c r="V24" s="2202"/>
      <c r="X24" s="2208">
        <f t="shared" si="8"/>
        <v>0</v>
      </c>
      <c r="Y24" s="2209">
        <f t="shared" si="9"/>
        <v>0</v>
      </c>
      <c r="Z24" s="2209">
        <f t="shared" si="10"/>
        <v>0</v>
      </c>
      <c r="AA24" s="2209">
        <f t="shared" si="11"/>
        <v>0</v>
      </c>
      <c r="AB24" s="2210">
        <f t="shared" si="12"/>
        <v>0</v>
      </c>
      <c r="AC24" s="2209">
        <f t="shared" ref="AC24:AC31" si="14">U24-H24</f>
        <v>0</v>
      </c>
      <c r="AD24" s="2209">
        <f t="shared" si="13"/>
        <v>0</v>
      </c>
    </row>
    <row r="25" spans="1:34" s="2145" customFormat="1" ht="51" x14ac:dyDescent="0.2">
      <c r="A25" s="307"/>
      <c r="B25" s="2844" t="s">
        <v>863</v>
      </c>
      <c r="C25" s="308">
        <f>C23</f>
        <v>13</v>
      </c>
      <c r="D25" s="1640">
        <f>93387.39+18216.77</f>
        <v>111604.16</v>
      </c>
      <c r="E25" s="2846">
        <f>D25*C25</f>
        <v>1450854.08</v>
      </c>
      <c r="F25" s="2215"/>
      <c r="G25" s="318"/>
      <c r="H25" s="305"/>
      <c r="I25" s="306"/>
      <c r="J25" s="1846"/>
      <c r="K25" s="1846"/>
      <c r="N25" s="307"/>
      <c r="O25" s="315" t="s">
        <v>863</v>
      </c>
      <c r="P25" s="1705">
        <f>P23</f>
        <v>13</v>
      </c>
      <c r="Q25" s="1705">
        <f>54661.54+21788.16+7833.84+4646.16+4457.69+18216.77</f>
        <v>111604.16</v>
      </c>
      <c r="R25" s="1705">
        <f>P25*Q25</f>
        <v>1450854.08</v>
      </c>
      <c r="S25" s="1711"/>
      <c r="T25" s="318"/>
      <c r="U25" s="1709">
        <v>2</v>
      </c>
      <c r="V25" s="2671">
        <f>104000-3040+28000*$J$1+800*3.8</f>
        <v>210400</v>
      </c>
      <c r="X25" s="1658">
        <f t="shared" si="8"/>
        <v>0</v>
      </c>
      <c r="Y25" s="1659">
        <f t="shared" si="9"/>
        <v>0</v>
      </c>
      <c r="Z25" s="1659">
        <f t="shared" si="10"/>
        <v>0</v>
      </c>
      <c r="AA25" s="1659">
        <f t="shared" si="11"/>
        <v>0</v>
      </c>
      <c r="AB25" s="1660">
        <f t="shared" si="12"/>
        <v>0</v>
      </c>
      <c r="AC25" s="1659">
        <f t="shared" si="14"/>
        <v>2</v>
      </c>
      <c r="AD25" s="1659">
        <f t="shared" si="13"/>
        <v>210400</v>
      </c>
    </row>
    <row r="26" spans="1:34" s="2145" customFormat="1" ht="25.5" x14ac:dyDescent="0.2">
      <c r="A26" s="307"/>
      <c r="B26" s="315" t="s">
        <v>247</v>
      </c>
      <c r="C26" s="308">
        <f>C23*50</f>
        <v>650</v>
      </c>
      <c r="D26" s="1640">
        <v>143.23076923076923</v>
      </c>
      <c r="E26" s="2215">
        <v>93100</v>
      </c>
      <c r="F26" s="2215"/>
      <c r="G26" s="318"/>
      <c r="H26" s="305"/>
      <c r="I26" s="306"/>
      <c r="J26" s="1846"/>
      <c r="K26" s="1846"/>
      <c r="N26" s="307"/>
      <c r="O26" s="315" t="s">
        <v>247</v>
      </c>
      <c r="P26" s="1705">
        <f>50*P23</f>
        <v>650</v>
      </c>
      <c r="Q26" s="1705">
        <v>143.22999999999999</v>
      </c>
      <c r="R26" s="1705">
        <f>P26*Q26</f>
        <v>93099.5</v>
      </c>
      <c r="S26" s="1711"/>
      <c r="T26" s="318"/>
      <c r="U26" s="2213"/>
      <c r="V26" s="2671"/>
      <c r="W26" s="2175"/>
      <c r="X26" s="1658">
        <f t="shared" si="8"/>
        <v>0</v>
      </c>
      <c r="Y26" s="1659">
        <f t="shared" si="9"/>
        <v>-7.6923076923662848E-4</v>
      </c>
      <c r="Z26" s="1659">
        <f t="shared" si="10"/>
        <v>-0.5</v>
      </c>
      <c r="AA26" s="1659">
        <f t="shared" si="11"/>
        <v>0</v>
      </c>
      <c r="AB26" s="1660">
        <f t="shared" si="12"/>
        <v>0</v>
      </c>
      <c r="AC26" s="1659">
        <f t="shared" si="14"/>
        <v>0</v>
      </c>
      <c r="AD26" s="1659">
        <f t="shared" si="13"/>
        <v>0</v>
      </c>
    </row>
    <row r="27" spans="1:34" s="2145" customFormat="1" x14ac:dyDescent="0.2">
      <c r="A27" s="307"/>
      <c r="B27" s="315" t="s">
        <v>248</v>
      </c>
      <c r="C27" s="309">
        <f>20*C23</f>
        <v>260</v>
      </c>
      <c r="D27" s="1640">
        <v>397.06831629908555</v>
      </c>
      <c r="E27" s="2215">
        <v>103237.76223776225</v>
      </c>
      <c r="F27" s="2215"/>
      <c r="G27" s="318"/>
      <c r="H27" s="305"/>
      <c r="I27" s="306"/>
      <c r="J27" s="1846"/>
      <c r="K27" s="1846"/>
      <c r="N27" s="307"/>
      <c r="O27" s="315" t="s">
        <v>248</v>
      </c>
      <c r="P27" s="1705">
        <f>P23*20</f>
        <v>260</v>
      </c>
      <c r="Q27" s="1705">
        <v>397.07</v>
      </c>
      <c r="R27" s="1705">
        <f>P27*Q27</f>
        <v>103238.2</v>
      </c>
      <c r="S27" s="1711"/>
      <c r="T27" s="318"/>
      <c r="U27" s="2213"/>
      <c r="V27" s="2671"/>
      <c r="X27" s="1658">
        <f t="shared" si="8"/>
        <v>0</v>
      </c>
      <c r="Y27" s="1659">
        <f t="shared" si="9"/>
        <v>1.6837009144410331E-3</v>
      </c>
      <c r="Z27" s="1659">
        <f t="shared" si="10"/>
        <v>0.43776223775057588</v>
      </c>
      <c r="AA27" s="1659">
        <f t="shared" si="11"/>
        <v>0</v>
      </c>
      <c r="AB27" s="1660">
        <f t="shared" si="12"/>
        <v>0</v>
      </c>
      <c r="AC27" s="1659">
        <f t="shared" si="14"/>
        <v>0</v>
      </c>
      <c r="AD27" s="1659">
        <f t="shared" si="13"/>
        <v>0</v>
      </c>
    </row>
    <row r="28" spans="1:34" s="2145" customFormat="1" ht="38.25" x14ac:dyDescent="0.2">
      <c r="A28" s="307"/>
      <c r="B28" s="315" t="s">
        <v>249</v>
      </c>
      <c r="C28" s="308">
        <f>10*C23</f>
        <v>130</v>
      </c>
      <c r="D28" s="1640">
        <v>5559.6923076923076</v>
      </c>
      <c r="E28" s="2215">
        <v>722760</v>
      </c>
      <c r="F28" s="2215"/>
      <c r="G28" s="318"/>
      <c r="H28" s="305"/>
      <c r="I28" s="306"/>
      <c r="J28" s="1846"/>
      <c r="K28" s="1846"/>
      <c r="M28" s="2175"/>
      <c r="N28" s="307"/>
      <c r="O28" s="315" t="s">
        <v>249</v>
      </c>
      <c r="P28" s="1705">
        <f>10*P23</f>
        <v>130</v>
      </c>
      <c r="Q28" s="1705">
        <f>(640+(60+120)*4+100)*3.8</f>
        <v>5548</v>
      </c>
      <c r="R28" s="1705">
        <f>P28*Q28</f>
        <v>721240</v>
      </c>
      <c r="S28" s="1711"/>
      <c r="T28" s="318"/>
      <c r="U28" s="2213"/>
      <c r="V28" s="2671"/>
      <c r="W28" s="2175"/>
      <c r="X28" s="1658">
        <f t="shared" si="8"/>
        <v>0</v>
      </c>
      <c r="Y28" s="1659">
        <f t="shared" si="9"/>
        <v>-11.692307692307622</v>
      </c>
      <c r="Z28" s="1659">
        <f t="shared" si="10"/>
        <v>-1520</v>
      </c>
      <c r="AA28" s="1659">
        <f t="shared" si="11"/>
        <v>0</v>
      </c>
      <c r="AB28" s="1660">
        <f t="shared" si="12"/>
        <v>0</v>
      </c>
      <c r="AC28" s="1659">
        <f t="shared" si="14"/>
        <v>0</v>
      </c>
      <c r="AD28" s="1659">
        <f t="shared" si="13"/>
        <v>0</v>
      </c>
    </row>
    <row r="29" spans="1:34" s="2145" customFormat="1" ht="26.25" thickBot="1" x14ac:dyDescent="0.25">
      <c r="A29" s="307"/>
      <c r="B29" s="297" t="s">
        <v>628</v>
      </c>
      <c r="C29" s="308"/>
      <c r="D29" s="2192"/>
      <c r="E29" s="2215"/>
      <c r="F29" s="2215"/>
      <c r="G29" s="318"/>
      <c r="H29" s="305"/>
      <c r="I29" s="306"/>
      <c r="J29" s="1846"/>
      <c r="K29" s="1846"/>
      <c r="N29" s="307"/>
      <c r="O29" s="315" t="s">
        <v>628</v>
      </c>
      <c r="P29" s="1705">
        <f>P25*2</f>
        <v>26</v>
      </c>
      <c r="Q29" s="1705">
        <v>2467</v>
      </c>
      <c r="R29" s="1705">
        <f>P29*Q29</f>
        <v>64142</v>
      </c>
      <c r="S29" s="1711"/>
      <c r="T29" s="318"/>
      <c r="U29" s="305"/>
      <c r="V29" s="306"/>
      <c r="X29" s="1658">
        <f t="shared" si="8"/>
        <v>26</v>
      </c>
      <c r="Y29" s="1659">
        <f t="shared" si="9"/>
        <v>2467</v>
      </c>
      <c r="Z29" s="1659">
        <f t="shared" si="10"/>
        <v>64142</v>
      </c>
      <c r="AA29" s="1659">
        <f t="shared" si="11"/>
        <v>0</v>
      </c>
      <c r="AB29" s="1660">
        <f t="shared" si="12"/>
        <v>0</v>
      </c>
      <c r="AC29" s="1659">
        <f t="shared" si="14"/>
        <v>0</v>
      </c>
      <c r="AD29" s="1659">
        <f t="shared" si="13"/>
        <v>0</v>
      </c>
    </row>
    <row r="30" spans="1:34" s="2220" customFormat="1" x14ac:dyDescent="0.2">
      <c r="A30" s="2217"/>
      <c r="B30" s="2198" t="s">
        <v>242</v>
      </c>
      <c r="C30" s="2213"/>
      <c r="D30" s="2207"/>
      <c r="E30" s="1711"/>
      <c r="F30" s="2218"/>
      <c r="G30" s="2219"/>
      <c r="H30" s="2213"/>
      <c r="I30" s="2213"/>
      <c r="K30" s="2221"/>
      <c r="N30" s="2222"/>
      <c r="O30" s="2205" t="s">
        <v>798</v>
      </c>
      <c r="P30" s="2213">
        <v>6</v>
      </c>
      <c r="Q30" s="2207">
        <f>SUM(R33:R38)/P30</f>
        <v>94470.96</v>
      </c>
      <c r="R30" s="1711"/>
      <c r="S30" s="2218"/>
      <c r="T30" s="2158"/>
      <c r="U30" s="2213"/>
      <c r="V30" s="2223"/>
      <c r="X30" s="1658">
        <f t="shared" si="8"/>
        <v>6</v>
      </c>
      <c r="Y30" s="1659">
        <f t="shared" si="9"/>
        <v>94470.96</v>
      </c>
      <c r="Z30" s="1659">
        <f t="shared" si="10"/>
        <v>0</v>
      </c>
      <c r="AA30" s="1659">
        <f t="shared" si="11"/>
        <v>0</v>
      </c>
      <c r="AB30" s="2224" t="e">
        <f>#REF!-#REF!</f>
        <v>#REF!</v>
      </c>
      <c r="AC30" s="1841">
        <f t="shared" si="14"/>
        <v>0</v>
      </c>
      <c r="AD30" s="1841">
        <f t="shared" si="13"/>
        <v>0</v>
      </c>
    </row>
    <row r="31" spans="1:34" s="2220" customFormat="1" x14ac:dyDescent="0.2">
      <c r="A31" s="2222"/>
      <c r="B31" s="2198" t="s">
        <v>245</v>
      </c>
      <c r="C31" s="2213"/>
      <c r="D31" s="2207"/>
      <c r="E31" s="2214"/>
      <c r="F31" s="2218"/>
      <c r="G31" s="2219"/>
      <c r="H31" s="2213"/>
      <c r="I31" s="2213"/>
      <c r="K31" s="2221"/>
      <c r="N31" s="2222"/>
      <c r="O31" s="2198" t="s">
        <v>245</v>
      </c>
      <c r="P31" s="2213">
        <v>500</v>
      </c>
      <c r="Q31" s="2207"/>
      <c r="R31" s="2214"/>
      <c r="S31" s="2218"/>
      <c r="T31" s="2158"/>
      <c r="U31" s="2213"/>
      <c r="V31" s="2223"/>
      <c r="X31" s="1658">
        <f t="shared" si="8"/>
        <v>500</v>
      </c>
      <c r="Y31" s="1659">
        <f t="shared" si="9"/>
        <v>0</v>
      </c>
      <c r="Z31" s="1659">
        <f t="shared" si="10"/>
        <v>0</v>
      </c>
      <c r="AA31" s="1659">
        <f t="shared" si="11"/>
        <v>0</v>
      </c>
      <c r="AB31" s="2224" t="e">
        <f>#REF!-#REF!</f>
        <v>#REF!</v>
      </c>
      <c r="AC31" s="1841">
        <f t="shared" si="14"/>
        <v>0</v>
      </c>
      <c r="AD31" s="1841">
        <f t="shared" si="13"/>
        <v>0</v>
      </c>
      <c r="AG31" s="2225"/>
      <c r="AH31" s="2225"/>
    </row>
    <row r="32" spans="1:34" x14ac:dyDescent="0.2">
      <c r="A32" s="2222"/>
      <c r="B32" s="315" t="s">
        <v>658</v>
      </c>
      <c r="C32" s="2213"/>
      <c r="D32" s="2207"/>
      <c r="E32" s="2214"/>
      <c r="F32" s="2218"/>
      <c r="G32" s="2219"/>
      <c r="H32" s="2226"/>
      <c r="I32" s="2226"/>
      <c r="J32" s="328"/>
      <c r="K32" s="1703"/>
      <c r="N32" s="2222"/>
      <c r="O32" s="315" t="s">
        <v>658</v>
      </c>
      <c r="P32" s="2213">
        <v>6</v>
      </c>
      <c r="Q32" s="2207"/>
      <c r="R32" s="2214"/>
      <c r="S32" s="2218"/>
      <c r="T32" s="2158"/>
      <c r="U32" s="2226"/>
      <c r="V32" s="2227"/>
      <c r="X32" s="1658">
        <f t="shared" si="8"/>
        <v>6</v>
      </c>
      <c r="Y32" s="1659">
        <f t="shared" si="9"/>
        <v>0</v>
      </c>
      <c r="Z32" s="1659">
        <f t="shared" si="10"/>
        <v>0</v>
      </c>
      <c r="AA32" s="1659">
        <f t="shared" si="11"/>
        <v>0</v>
      </c>
      <c r="AB32" s="1706"/>
      <c r="AC32" s="1704"/>
      <c r="AD32" s="1704"/>
      <c r="AG32" s="327"/>
      <c r="AH32" s="327"/>
    </row>
    <row r="33" spans="1:30" ht="51" x14ac:dyDescent="0.2">
      <c r="A33" s="2222"/>
      <c r="B33" s="315" t="s">
        <v>246</v>
      </c>
      <c r="C33" s="2213"/>
      <c r="D33" s="2228"/>
      <c r="E33" s="1711"/>
      <c r="F33" s="2229"/>
      <c r="G33" s="2219"/>
      <c r="H33" s="2226"/>
      <c r="I33" s="2226"/>
      <c r="J33" s="328"/>
      <c r="K33" s="1703"/>
      <c r="N33" s="2222"/>
      <c r="O33" s="315" t="s">
        <v>877</v>
      </c>
      <c r="P33" s="1705">
        <f>P30</f>
        <v>6</v>
      </c>
      <c r="Q33" s="1705">
        <f>35000+12000</f>
        <v>47000</v>
      </c>
      <c r="R33" s="1705">
        <f>P33*Q33</f>
        <v>282000</v>
      </c>
      <c r="S33" s="2229"/>
      <c r="T33" s="2158"/>
      <c r="U33" s="2226"/>
      <c r="V33" s="2227"/>
      <c r="X33" s="1658">
        <f t="shared" si="8"/>
        <v>6</v>
      </c>
      <c r="Y33" s="1659">
        <f t="shared" si="9"/>
        <v>47000</v>
      </c>
      <c r="Z33" s="1659">
        <f t="shared" si="10"/>
        <v>282000</v>
      </c>
      <c r="AA33" s="1659">
        <f t="shared" si="11"/>
        <v>0</v>
      </c>
      <c r="AB33" s="1706" t="e">
        <f>#REF!-#REF!</f>
        <v>#REF!</v>
      </c>
      <c r="AC33" s="1704">
        <f t="shared" ref="AC33:AC38" si="15">U33-H33</f>
        <v>0</v>
      </c>
      <c r="AD33" s="1704">
        <f t="shared" ref="AD33:AD38" si="16">V33-I33</f>
        <v>0</v>
      </c>
    </row>
    <row r="34" spans="1:30" x14ac:dyDescent="0.2">
      <c r="A34" s="2222"/>
      <c r="B34" s="2867" t="s">
        <v>876</v>
      </c>
      <c r="C34" s="2230"/>
      <c r="D34" s="2228"/>
      <c r="E34" s="1711"/>
      <c r="F34" s="2229"/>
      <c r="G34" s="2219"/>
      <c r="H34" s="2226"/>
      <c r="I34" s="2226"/>
      <c r="J34" s="328"/>
      <c r="K34" s="1703"/>
      <c r="N34" s="2222"/>
      <c r="O34" s="315" t="s">
        <v>876</v>
      </c>
      <c r="P34" s="1705">
        <f>P30</f>
        <v>6</v>
      </c>
      <c r="Q34" s="1705"/>
      <c r="R34" s="1705">
        <f>P34*Q34</f>
        <v>0</v>
      </c>
      <c r="S34" s="2229"/>
      <c r="T34" s="2158"/>
      <c r="U34" s="2226"/>
      <c r="V34" s="2227"/>
      <c r="X34" s="1658">
        <f t="shared" si="8"/>
        <v>6</v>
      </c>
      <c r="Y34" s="1659">
        <f t="shared" si="9"/>
        <v>0</v>
      </c>
      <c r="Z34" s="1659">
        <f t="shared" si="10"/>
        <v>0</v>
      </c>
      <c r="AA34" s="1659">
        <f t="shared" si="11"/>
        <v>0</v>
      </c>
      <c r="AB34" s="1706" t="e">
        <f>#REF!-#REF!</f>
        <v>#REF!</v>
      </c>
      <c r="AC34" s="1704">
        <f t="shared" si="15"/>
        <v>0</v>
      </c>
      <c r="AD34" s="1704">
        <f t="shared" si="16"/>
        <v>0</v>
      </c>
    </row>
    <row r="35" spans="1:30" x14ac:dyDescent="0.2">
      <c r="A35" s="2222"/>
      <c r="B35" s="315" t="s">
        <v>648</v>
      </c>
      <c r="C35" s="2213"/>
      <c r="D35" s="2228"/>
      <c r="E35" s="1711"/>
      <c r="F35" s="2229"/>
      <c r="G35" s="2219"/>
      <c r="H35" s="2226"/>
      <c r="I35" s="2226"/>
      <c r="J35" s="328"/>
      <c r="K35" s="1703"/>
      <c r="N35" s="2222"/>
      <c r="O35" s="315" t="s">
        <v>648</v>
      </c>
      <c r="P35" s="1705">
        <f>8*P30</f>
        <v>48</v>
      </c>
      <c r="Q35" s="1705">
        <v>397</v>
      </c>
      <c r="R35" s="1705">
        <f>Q35*P35</f>
        <v>19056</v>
      </c>
      <c r="S35" s="2229"/>
      <c r="T35" s="2158"/>
      <c r="U35" s="2226"/>
      <c r="V35" s="2227"/>
      <c r="X35" s="1658">
        <f t="shared" si="8"/>
        <v>48</v>
      </c>
      <c r="Y35" s="1659">
        <f t="shared" si="9"/>
        <v>397</v>
      </c>
      <c r="Z35" s="1659">
        <f t="shared" si="10"/>
        <v>19056</v>
      </c>
      <c r="AA35" s="1659">
        <f t="shared" si="11"/>
        <v>0</v>
      </c>
      <c r="AB35" s="1706" t="e">
        <f>#REF!-#REF!</f>
        <v>#REF!</v>
      </c>
      <c r="AC35" s="1704">
        <f t="shared" si="15"/>
        <v>0</v>
      </c>
      <c r="AD35" s="1704">
        <f t="shared" si="16"/>
        <v>0</v>
      </c>
    </row>
    <row r="36" spans="1:30" ht="38.25" x14ac:dyDescent="0.2">
      <c r="A36" s="2222"/>
      <c r="B36" s="315" t="s">
        <v>649</v>
      </c>
      <c r="C36" s="2213"/>
      <c r="D36" s="2207"/>
      <c r="E36" s="1711"/>
      <c r="F36" s="2229"/>
      <c r="G36" s="2219"/>
      <c r="H36" s="2213"/>
      <c r="I36" s="2226"/>
      <c r="J36" s="328"/>
      <c r="K36" s="1703"/>
      <c r="N36" s="2222"/>
      <c r="O36" s="315" t="s">
        <v>649</v>
      </c>
      <c r="P36" s="1705">
        <f>P30*P32</f>
        <v>36</v>
      </c>
      <c r="Q36" s="1705">
        <f>(673.2+3*60+3*150+160)*J1</f>
        <v>5560.16</v>
      </c>
      <c r="R36" s="1705">
        <f>Q36*P36</f>
        <v>200165.76000000001</v>
      </c>
      <c r="S36" s="2229"/>
      <c r="T36" s="2158"/>
      <c r="U36" s="2213"/>
      <c r="V36" s="2227"/>
      <c r="X36" s="1658">
        <f t="shared" si="8"/>
        <v>36</v>
      </c>
      <c r="Y36" s="1659">
        <f t="shared" si="9"/>
        <v>5560.16</v>
      </c>
      <c r="Z36" s="1659">
        <f t="shared" si="10"/>
        <v>200165.76000000001</v>
      </c>
      <c r="AA36" s="1659">
        <f t="shared" si="11"/>
        <v>0</v>
      </c>
      <c r="AB36" s="1706" t="e">
        <f>#REF!-#REF!</f>
        <v>#REF!</v>
      </c>
      <c r="AC36" s="1704">
        <f t="shared" si="15"/>
        <v>0</v>
      </c>
      <c r="AD36" s="1704">
        <f t="shared" si="16"/>
        <v>0</v>
      </c>
    </row>
    <row r="37" spans="1:30" ht="25.5" x14ac:dyDescent="0.2">
      <c r="A37" s="2222"/>
      <c r="B37" s="315" t="s">
        <v>650</v>
      </c>
      <c r="C37" s="2213"/>
      <c r="D37" s="2228"/>
      <c r="E37" s="1711"/>
      <c r="F37" s="2229"/>
      <c r="G37" s="2219"/>
      <c r="H37" s="2226"/>
      <c r="I37" s="2226"/>
      <c r="J37" s="328"/>
      <c r="K37" s="1703"/>
      <c r="N37" s="2222"/>
      <c r="O37" s="315" t="s">
        <v>650</v>
      </c>
      <c r="P37" s="1705">
        <f>2*P30</f>
        <v>12</v>
      </c>
      <c r="Q37" s="1705">
        <v>2467</v>
      </c>
      <c r="R37" s="1705">
        <f>P37*Q37</f>
        <v>29604</v>
      </c>
      <c r="S37" s="2229"/>
      <c r="T37" s="2158"/>
      <c r="U37" s="2226"/>
      <c r="V37" s="2227"/>
      <c r="X37" s="1658">
        <f t="shared" si="8"/>
        <v>12</v>
      </c>
      <c r="Y37" s="1659">
        <f t="shared" si="9"/>
        <v>2467</v>
      </c>
      <c r="Z37" s="1659">
        <f t="shared" si="10"/>
        <v>29604</v>
      </c>
      <c r="AA37" s="1659">
        <f t="shared" si="11"/>
        <v>0</v>
      </c>
      <c r="AB37" s="1706">
        <f>T300-F300</f>
        <v>0</v>
      </c>
      <c r="AC37" s="1704">
        <f t="shared" si="15"/>
        <v>0</v>
      </c>
      <c r="AD37" s="1704">
        <f t="shared" si="16"/>
        <v>0</v>
      </c>
    </row>
    <row r="38" spans="1:30" x14ac:dyDescent="0.2">
      <c r="A38" s="2222"/>
      <c r="B38" s="2216" t="s">
        <v>235</v>
      </c>
      <c r="C38" s="2213"/>
      <c r="D38" s="2228"/>
      <c r="E38" s="1711"/>
      <c r="F38" s="2229"/>
      <c r="G38" s="2219"/>
      <c r="H38" s="2226"/>
      <c r="I38" s="2226"/>
      <c r="J38" s="328"/>
      <c r="K38" s="1703"/>
      <c r="N38" s="2222"/>
      <c r="O38" s="2216" t="s">
        <v>235</v>
      </c>
      <c r="P38" s="1705">
        <f>P30</f>
        <v>6</v>
      </c>
      <c r="Q38" s="1705">
        <v>6000</v>
      </c>
      <c r="R38" s="1705">
        <f>P38*Q38</f>
        <v>36000</v>
      </c>
      <c r="S38" s="2229"/>
      <c r="T38" s="2158"/>
      <c r="U38" s="2226"/>
      <c r="V38" s="2227"/>
      <c r="X38" s="1658">
        <f t="shared" si="8"/>
        <v>6</v>
      </c>
      <c r="Y38" s="1659">
        <f t="shared" si="9"/>
        <v>6000</v>
      </c>
      <c r="Z38" s="1659">
        <f t="shared" si="10"/>
        <v>36000</v>
      </c>
      <c r="AA38" s="1659">
        <f t="shared" si="11"/>
        <v>0</v>
      </c>
      <c r="AB38" s="1706">
        <f>T301-F301</f>
        <v>0</v>
      </c>
      <c r="AC38" s="1704">
        <f t="shared" si="15"/>
        <v>0</v>
      </c>
      <c r="AD38" s="1704">
        <f t="shared" si="16"/>
        <v>0</v>
      </c>
    </row>
    <row r="39" spans="1:30" ht="13.5" customHeight="1" thickBot="1" x14ac:dyDescent="0.25">
      <c r="A39" s="1826"/>
      <c r="B39" s="1827" t="s">
        <v>252</v>
      </c>
      <c r="C39" s="1792"/>
      <c r="D39" s="1828"/>
      <c r="E39" s="2231">
        <f>SUM(E25:E29)</f>
        <v>2369951.8422377622</v>
      </c>
      <c r="F39" s="2231"/>
      <c r="G39" s="1790"/>
      <c r="H39" s="1790"/>
      <c r="I39" s="2232">
        <v>0</v>
      </c>
      <c r="J39" s="1846">
        <v>2369951.9160839161</v>
      </c>
      <c r="N39" s="2415"/>
      <c r="O39" s="2416" t="s">
        <v>252</v>
      </c>
      <c r="P39" s="2233"/>
      <c r="Q39" s="1861"/>
      <c r="R39" s="1849">
        <f>SUM(R25:R38)</f>
        <v>2999399.54</v>
      </c>
      <c r="S39" s="1849"/>
      <c r="T39" s="1849">
        <f>SUM(T25:T38)</f>
        <v>0</v>
      </c>
      <c r="U39" s="1849">
        <f>SUM(U25:U38)</f>
        <v>2</v>
      </c>
      <c r="V39" s="2672">
        <f>SUM(V25:V38)</f>
        <v>210400</v>
      </c>
      <c r="X39" s="2233"/>
      <c r="Y39" s="2233"/>
      <c r="Z39" s="1849">
        <f>SUM(Z25:Z38)</f>
        <v>629447.69776223775</v>
      </c>
      <c r="AA39" s="1849">
        <f>SUM(AA25:AA38)</f>
        <v>0</v>
      </c>
      <c r="AB39" s="1849" t="e">
        <f>SUM(AB25:AB38)</f>
        <v>#REF!</v>
      </c>
      <c r="AC39" s="1849">
        <f>SUM(AC25:AC38)</f>
        <v>2</v>
      </c>
      <c r="AD39" s="1849">
        <f>SUM(AD25:AD38)</f>
        <v>210400</v>
      </c>
    </row>
    <row r="40" spans="1:30" s="1718" customFormat="1" ht="13.5" customHeight="1" x14ac:dyDescent="0.2">
      <c r="B40" s="2234" t="s">
        <v>808</v>
      </c>
      <c r="D40" s="2184"/>
      <c r="E40" s="2275"/>
      <c r="N40" s="2673"/>
      <c r="O40" s="2668" t="s">
        <v>808</v>
      </c>
      <c r="P40" s="2360"/>
      <c r="Q40" s="2669"/>
      <c r="R40" s="2670"/>
      <c r="S40" s="2670"/>
      <c r="T40" s="2360"/>
      <c r="U40" s="2360"/>
      <c r="V40" s="2446"/>
    </row>
    <row r="41" spans="1:30" s="1718" customFormat="1" ht="13.5" customHeight="1" x14ac:dyDescent="0.2">
      <c r="B41" s="1718" t="s">
        <v>238</v>
      </c>
      <c r="D41" s="2184"/>
      <c r="N41" s="2673"/>
      <c r="O41" s="2360" t="s">
        <v>238</v>
      </c>
      <c r="P41" s="2360"/>
      <c r="Q41" s="2669"/>
      <c r="R41" s="2670"/>
      <c r="S41" s="2670"/>
      <c r="T41" s="2360"/>
      <c r="U41" s="2360"/>
      <c r="V41" s="2446"/>
    </row>
    <row r="42" spans="1:30" s="1718" customFormat="1" ht="13.5" customHeight="1" x14ac:dyDescent="0.2">
      <c r="D42" s="2184"/>
      <c r="E42" s="2275">
        <f>-E39+'[1]חמ"ע'!$E$41</f>
        <v>7.3846153914928436E-2</v>
      </c>
      <c r="N42" s="2673"/>
      <c r="O42" s="2360" t="s">
        <v>629</v>
      </c>
      <c r="P42" s="2360"/>
      <c r="Q42" s="2669"/>
      <c r="R42" s="2670"/>
      <c r="S42" s="2670"/>
      <c r="T42" s="2360"/>
      <c r="U42" s="2360"/>
      <c r="V42" s="2446"/>
    </row>
    <row r="43" spans="1:30" s="1718" customFormat="1" ht="13.5" customHeight="1" thickBot="1" x14ac:dyDescent="0.25">
      <c r="D43" s="2184"/>
      <c r="N43" s="2420"/>
      <c r="O43" s="2421" t="s">
        <v>630</v>
      </c>
      <c r="P43" s="2421"/>
      <c r="Q43" s="2422"/>
      <c r="R43" s="2421"/>
      <c r="S43" s="2421"/>
      <c r="T43" s="2421"/>
      <c r="U43" s="2421"/>
      <c r="V43" s="2423"/>
    </row>
    <row r="44" spans="1:30" s="1718" customFormat="1" ht="13.5" customHeight="1" x14ac:dyDescent="0.2">
      <c r="D44" s="2184"/>
      <c r="Q44" s="2184"/>
      <c r="R44" s="2185"/>
      <c r="V44" s="2185">
        <f>-V39+'[3]פרוט (4)'!$Z$52</f>
        <v>0</v>
      </c>
    </row>
    <row r="45" spans="1:30" s="2145" customFormat="1" ht="13.5" customHeight="1" thickBot="1" x14ac:dyDescent="0.25">
      <c r="D45" s="2192"/>
      <c r="E45" s="2175"/>
      <c r="F45" s="2175"/>
      <c r="J45" s="1846"/>
      <c r="K45" s="1846"/>
      <c r="Q45" s="2192"/>
    </row>
    <row r="46" spans="1:30" s="2145" customFormat="1" ht="15.75" customHeight="1" x14ac:dyDescent="0.2">
      <c r="A46" s="2193">
        <v>1.3</v>
      </c>
      <c r="B46" s="2138" t="s">
        <v>253</v>
      </c>
      <c r="C46" s="3186" t="s">
        <v>104</v>
      </c>
      <c r="D46" s="3186"/>
      <c r="E46" s="3186"/>
      <c r="F46" s="2151"/>
      <c r="G46" s="2152"/>
      <c r="H46" s="3186" t="s">
        <v>88</v>
      </c>
      <c r="I46" s="3187"/>
      <c r="J46" s="1846"/>
      <c r="K46" s="1846"/>
      <c r="N46" s="2193">
        <v>1.3</v>
      </c>
      <c r="O46" s="2138" t="s">
        <v>253</v>
      </c>
      <c r="P46" s="3185" t="s">
        <v>812</v>
      </c>
      <c r="Q46" s="3186"/>
      <c r="R46" s="3186"/>
      <c r="S46" s="2151"/>
      <c r="T46" s="2152"/>
      <c r="U46" s="3186" t="s">
        <v>88</v>
      </c>
      <c r="V46" s="3187"/>
      <c r="X46" s="3188" t="s">
        <v>506</v>
      </c>
      <c r="Y46" s="3186"/>
      <c r="Z46" s="3186"/>
      <c r="AA46" s="2151"/>
      <c r="AB46" s="2153"/>
      <c r="AC46" s="3189" t="s">
        <v>88</v>
      </c>
      <c r="AD46" s="3190"/>
    </row>
    <row r="47" spans="1:30" s="2145" customFormat="1" ht="25.5" x14ac:dyDescent="0.2">
      <c r="A47" s="2195"/>
      <c r="B47" s="2155" t="s">
        <v>89</v>
      </c>
      <c r="C47" s="2196" t="s">
        <v>54</v>
      </c>
      <c r="D47" s="2156" t="s">
        <v>91</v>
      </c>
      <c r="E47" s="2196" t="s">
        <v>92</v>
      </c>
      <c r="F47" s="2196"/>
      <c r="G47" s="357"/>
      <c r="H47" s="2196" t="s">
        <v>92</v>
      </c>
      <c r="I47" s="2157" t="s">
        <v>92</v>
      </c>
      <c r="J47" s="1846"/>
      <c r="K47" s="1846" t="s">
        <v>31</v>
      </c>
      <c r="N47" s="2195"/>
      <c r="O47" s="2155" t="s">
        <v>89</v>
      </c>
      <c r="P47" s="2155" t="s">
        <v>54</v>
      </c>
      <c r="Q47" s="2156" t="s">
        <v>91</v>
      </c>
      <c r="R47" s="2235" t="s">
        <v>92</v>
      </c>
      <c r="S47" s="2235"/>
      <c r="T47" s="357"/>
      <c r="U47" s="2196" t="s">
        <v>92</v>
      </c>
      <c r="V47" s="2157" t="s">
        <v>92</v>
      </c>
      <c r="X47" s="2154" t="s">
        <v>90</v>
      </c>
      <c r="Y47" s="2155" t="s">
        <v>91</v>
      </c>
      <c r="Z47" s="2158" t="s">
        <v>507</v>
      </c>
      <c r="AA47" s="2158"/>
      <c r="AB47" s="2161"/>
      <c r="AC47" s="2162" t="s">
        <v>54</v>
      </c>
      <c r="AD47" s="2163" t="s">
        <v>507</v>
      </c>
    </row>
    <row r="48" spans="1:30" s="2145" customFormat="1" ht="25.5" x14ac:dyDescent="0.2">
      <c r="A48" s="2197"/>
      <c r="B48" s="315" t="s">
        <v>254</v>
      </c>
      <c r="C48" s="2199">
        <v>24</v>
      </c>
      <c r="D48" s="2212">
        <f>E57/C48</f>
        <v>28612.182540792539</v>
      </c>
      <c r="E48" s="2199"/>
      <c r="F48" s="2199"/>
      <c r="G48" s="318"/>
      <c r="H48" s="325"/>
      <c r="I48" s="326"/>
      <c r="J48" s="1846"/>
      <c r="K48" s="2236">
        <v>8</v>
      </c>
      <c r="L48" s="2199"/>
      <c r="N48" s="2197"/>
      <c r="O48" s="315" t="s">
        <v>254</v>
      </c>
      <c r="P48" s="1709">
        <f>P50*3</f>
        <v>27</v>
      </c>
      <c r="Q48" s="1710"/>
      <c r="R48" s="1711"/>
      <c r="S48" s="1711"/>
      <c r="T48" s="318"/>
      <c r="U48" s="325"/>
      <c r="V48" s="326"/>
      <c r="X48" s="1704">
        <f>P48-C48</f>
        <v>3</v>
      </c>
      <c r="Y48" s="1705"/>
      <c r="Z48" s="1705">
        <f>R48-E48</f>
        <v>0</v>
      </c>
      <c r="AA48" s="1705">
        <f>F48-S48</f>
        <v>0</v>
      </c>
      <c r="AB48" s="1706">
        <f>T48-F48</f>
        <v>0</v>
      </c>
      <c r="AC48" s="1705">
        <f t="shared" ref="AC48:AD50" si="17">U48-H48</f>
        <v>0</v>
      </c>
      <c r="AD48" s="1705">
        <f t="shared" si="17"/>
        <v>0</v>
      </c>
    </row>
    <row r="49" spans="1:30" s="2145" customFormat="1" x14ac:dyDescent="0.2">
      <c r="A49" s="2197"/>
      <c r="B49" s="315" t="s">
        <v>255</v>
      </c>
      <c r="C49" s="2199">
        <v>70</v>
      </c>
      <c r="D49" s="2212"/>
      <c r="E49" s="2199"/>
      <c r="F49" s="2199"/>
      <c r="G49" s="318"/>
      <c r="H49" s="325"/>
      <c r="I49" s="326"/>
      <c r="J49" s="1846"/>
      <c r="K49" s="2211">
        <v>200</v>
      </c>
      <c r="L49" s="2199"/>
      <c r="N49" s="2197"/>
      <c r="O49" s="315" t="s">
        <v>255</v>
      </c>
      <c r="P49" s="1709">
        <f>C49</f>
        <v>70</v>
      </c>
      <c r="Q49" s="1710"/>
      <c r="R49" s="1711"/>
      <c r="S49" s="1711"/>
      <c r="T49" s="318"/>
      <c r="U49" s="325"/>
      <c r="V49" s="326"/>
      <c r="X49" s="1704">
        <f>P49-C49</f>
        <v>0</v>
      </c>
      <c r="Y49" s="1705">
        <f>Q49-D49</f>
        <v>0</v>
      </c>
      <c r="Z49" s="1705">
        <f>R49-E49</f>
        <v>0</v>
      </c>
      <c r="AA49" s="1705">
        <f>F49-S49</f>
        <v>0</v>
      </c>
      <c r="AB49" s="1706">
        <f>T49-F49</f>
        <v>0</v>
      </c>
      <c r="AC49" s="1705">
        <f t="shared" si="17"/>
        <v>0</v>
      </c>
      <c r="AD49" s="1705">
        <f t="shared" si="17"/>
        <v>0</v>
      </c>
    </row>
    <row r="50" spans="1:30" s="321" customFormat="1" x14ac:dyDescent="0.2">
      <c r="A50" s="314"/>
      <c r="B50" s="356" t="s">
        <v>231</v>
      </c>
      <c r="C50" s="313">
        <f>C48/3</f>
        <v>8</v>
      </c>
      <c r="D50" s="2164"/>
      <c r="E50" s="2165"/>
      <c r="F50" s="2165"/>
      <c r="G50" s="318"/>
      <c r="H50" s="2165"/>
      <c r="I50" s="2166"/>
      <c r="J50" s="320"/>
      <c r="K50" s="320"/>
      <c r="N50" s="314"/>
      <c r="O50" s="356" t="s">
        <v>231</v>
      </c>
      <c r="P50" s="2237">
        <f>8+1</f>
        <v>9</v>
      </c>
      <c r="Q50" s="2168"/>
      <c r="R50" s="2169"/>
      <c r="S50" s="2169"/>
      <c r="T50" s="318"/>
      <c r="U50" s="2165"/>
      <c r="V50" s="2166"/>
      <c r="X50" s="1704">
        <f>P50-C50</f>
        <v>1</v>
      </c>
      <c r="Y50" s="1705">
        <f>Q50-D50</f>
        <v>0</v>
      </c>
      <c r="Z50" s="1705">
        <f>R50-E50</f>
        <v>0</v>
      </c>
      <c r="AA50" s="1705">
        <f>F50-S50</f>
        <v>0</v>
      </c>
      <c r="AB50" s="1706">
        <f>T50-F50</f>
        <v>0</v>
      </c>
      <c r="AC50" s="1705">
        <f t="shared" si="17"/>
        <v>0</v>
      </c>
      <c r="AD50" s="1705">
        <f t="shared" si="17"/>
        <v>0</v>
      </c>
    </row>
    <row r="51" spans="1:30" s="321" customFormat="1" x14ac:dyDescent="0.2">
      <c r="A51" s="314"/>
      <c r="B51" s="356"/>
      <c r="C51" s="313"/>
      <c r="D51" s="2164"/>
      <c r="E51" s="2165"/>
      <c r="F51" s="2165"/>
      <c r="G51" s="318"/>
      <c r="H51" s="2165"/>
      <c r="I51" s="2166"/>
      <c r="J51" s="320"/>
      <c r="K51" s="320"/>
      <c r="N51" s="314"/>
      <c r="O51" s="356" t="s">
        <v>763</v>
      </c>
      <c r="P51" s="2237">
        <v>7</v>
      </c>
      <c r="Q51" s="2168"/>
      <c r="R51" s="2169"/>
      <c r="S51" s="2169"/>
      <c r="T51" s="318"/>
      <c r="U51" s="2165"/>
      <c r="V51" s="2166"/>
      <c r="X51" s="1704"/>
      <c r="Y51" s="1705"/>
      <c r="Z51" s="1705"/>
      <c r="AA51" s="1705"/>
      <c r="AB51" s="1706"/>
      <c r="AC51" s="1705"/>
      <c r="AD51" s="1705"/>
    </row>
    <row r="52" spans="1:30" s="2145" customFormat="1" ht="51" x14ac:dyDescent="0.2">
      <c r="A52" s="307"/>
      <c r="B52" s="2844" t="s">
        <v>863</v>
      </c>
      <c r="C52" s="296">
        <f>C48</f>
        <v>24</v>
      </c>
      <c r="D52" s="1640">
        <f>6813.81+2175.58</f>
        <v>8989.39</v>
      </c>
      <c r="E52" s="1640">
        <f>D52*C52</f>
        <v>215745.36</v>
      </c>
      <c r="F52" s="2238"/>
      <c r="G52" s="318"/>
      <c r="H52" s="325"/>
      <c r="I52" s="326"/>
      <c r="J52" s="1846"/>
      <c r="K52" s="311">
        <v>8</v>
      </c>
      <c r="L52" s="297">
        <v>7600</v>
      </c>
      <c r="N52" s="307"/>
      <c r="O52" s="2824" t="s">
        <v>863</v>
      </c>
      <c r="P52" s="2239">
        <f>$P$50</f>
        <v>9</v>
      </c>
      <c r="Q52" s="1643">
        <f>2533.33*3+300*3+902.5*3+633.33*3+500*3+6526.74</f>
        <v>21134.22</v>
      </c>
      <c r="R52" s="2173">
        <f>Q52*P52</f>
        <v>190207.98</v>
      </c>
      <c r="S52" s="1711"/>
      <c r="T52" s="318"/>
      <c r="U52" s="325"/>
      <c r="V52" s="326"/>
      <c r="X52" s="1704">
        <f t="shared" ref="X52:Z56" si="18">P52-C52</f>
        <v>-15</v>
      </c>
      <c r="Y52" s="1705">
        <f>Q52/3-D52</f>
        <v>-1944.6499999999987</v>
      </c>
      <c r="Z52" s="1705">
        <f t="shared" si="18"/>
        <v>-25537.379999999976</v>
      </c>
      <c r="AA52" s="1705">
        <f>F52-S52</f>
        <v>0</v>
      </c>
      <c r="AB52" s="1706">
        <f>T52-F52</f>
        <v>0</v>
      </c>
      <c r="AC52" s="1705">
        <f t="shared" ref="AC52:AD56" si="19">U52-H52</f>
        <v>0</v>
      </c>
      <c r="AD52" s="1705">
        <f t="shared" si="19"/>
        <v>0</v>
      </c>
    </row>
    <row r="53" spans="1:30" s="2145" customFormat="1" ht="25.5" x14ac:dyDescent="0.2">
      <c r="A53" s="307"/>
      <c r="B53" s="315" t="s">
        <v>256</v>
      </c>
      <c r="C53" s="296">
        <f>C48*20/3</f>
        <v>160</v>
      </c>
      <c r="D53" s="1640">
        <v>161.5</v>
      </c>
      <c r="E53" s="1640">
        <v>25840</v>
      </c>
      <c r="F53" s="2238"/>
      <c r="G53" s="318"/>
      <c r="H53" s="325"/>
      <c r="I53" s="326"/>
      <c r="J53" s="1846"/>
      <c r="K53" s="311">
        <v>160</v>
      </c>
      <c r="L53" s="297">
        <v>118.75</v>
      </c>
      <c r="N53" s="307"/>
      <c r="O53" s="315" t="s">
        <v>256</v>
      </c>
      <c r="P53" s="2173">
        <f>P50*20</f>
        <v>180</v>
      </c>
      <c r="Q53" s="1643">
        <f>20</f>
        <v>20</v>
      </c>
      <c r="R53" s="2173">
        <f>Q53*P53</f>
        <v>3600</v>
      </c>
      <c r="S53" s="1711"/>
      <c r="T53" s="318"/>
      <c r="U53" s="325"/>
      <c r="V53" s="326"/>
      <c r="W53" s="2175"/>
      <c r="X53" s="1704">
        <f t="shared" si="18"/>
        <v>20</v>
      </c>
      <c r="Y53" s="1705">
        <f t="shared" ref="Y53:Y55" si="20">Q53/3-D53</f>
        <v>-154.83333333333334</v>
      </c>
      <c r="Z53" s="1705">
        <f t="shared" si="18"/>
        <v>-22240</v>
      </c>
      <c r="AA53" s="1705">
        <f>F53-S53</f>
        <v>0</v>
      </c>
      <c r="AB53" s="1706">
        <f>T53-F53</f>
        <v>0</v>
      </c>
      <c r="AC53" s="1705">
        <f t="shared" si="19"/>
        <v>0</v>
      </c>
      <c r="AD53" s="1705">
        <f t="shared" si="19"/>
        <v>0</v>
      </c>
    </row>
    <row r="54" spans="1:30" s="2145" customFormat="1" x14ac:dyDescent="0.2">
      <c r="A54" s="307"/>
      <c r="B54" s="315" t="s">
        <v>257</v>
      </c>
      <c r="C54" s="296">
        <f>5*C48</f>
        <v>120</v>
      </c>
      <c r="D54" s="1640">
        <v>89.408508158508155</v>
      </c>
      <c r="E54" s="1640">
        <v>10729.020979020979</v>
      </c>
      <c r="F54" s="2238"/>
      <c r="G54" s="318"/>
      <c r="H54" s="325"/>
      <c r="I54" s="326"/>
      <c r="J54" s="1846"/>
      <c r="K54" s="311">
        <v>40</v>
      </c>
      <c r="L54" s="297">
        <v>268.22552447552448</v>
      </c>
      <c r="N54" s="307"/>
      <c r="O54" s="315" t="s">
        <v>257</v>
      </c>
      <c r="P54" s="2240">
        <f>5*P50</f>
        <v>45</v>
      </c>
      <c r="Q54" s="1643">
        <f>89.4*3</f>
        <v>268.20000000000005</v>
      </c>
      <c r="R54" s="2173">
        <f>Q54*P54</f>
        <v>12069.000000000002</v>
      </c>
      <c r="S54" s="1711"/>
      <c r="T54" s="318"/>
      <c r="U54" s="325"/>
      <c r="V54" s="326"/>
      <c r="X54" s="1704">
        <f t="shared" si="18"/>
        <v>-75</v>
      </c>
      <c r="Y54" s="1705">
        <f t="shared" si="20"/>
        <v>-8.508158508135466E-3</v>
      </c>
      <c r="Z54" s="1705">
        <f t="shared" si="18"/>
        <v>1339.9790209790226</v>
      </c>
      <c r="AA54" s="1705">
        <f>F54-S54</f>
        <v>0</v>
      </c>
      <c r="AB54" s="1706">
        <f>T54-F54</f>
        <v>0</v>
      </c>
      <c r="AC54" s="1705">
        <f t="shared" si="19"/>
        <v>0</v>
      </c>
      <c r="AD54" s="1705">
        <f t="shared" si="19"/>
        <v>0</v>
      </c>
    </row>
    <row r="55" spans="1:30" s="2145" customFormat="1" ht="38.25" x14ac:dyDescent="0.2">
      <c r="A55" s="307"/>
      <c r="B55" s="315" t="s">
        <v>258</v>
      </c>
      <c r="C55" s="296">
        <f>7*C48</f>
        <v>168</v>
      </c>
      <c r="D55" s="1640">
        <v>2585.5833333333335</v>
      </c>
      <c r="E55" s="1640">
        <v>434378</v>
      </c>
      <c r="F55" s="2238"/>
      <c r="G55" s="318"/>
      <c r="H55" s="325"/>
      <c r="I55" s="326"/>
      <c r="J55" s="1846"/>
      <c r="K55" s="2241">
        <v>56</v>
      </c>
      <c r="L55" s="297">
        <v>7756.75</v>
      </c>
      <c r="M55" s="2175"/>
      <c r="N55" s="307"/>
      <c r="O55" s="315" t="s">
        <v>258</v>
      </c>
      <c r="P55" s="2240">
        <f>P51*P50</f>
        <v>63</v>
      </c>
      <c r="Q55" s="1643">
        <f>2585.58*3</f>
        <v>7756.74</v>
      </c>
      <c r="R55" s="2173">
        <f>Q55*P55</f>
        <v>488674.62</v>
      </c>
      <c r="S55" s="1711"/>
      <c r="T55" s="318"/>
      <c r="U55" s="325"/>
      <c r="V55" s="326"/>
      <c r="W55" s="2175"/>
      <c r="X55" s="1704">
        <f t="shared" si="18"/>
        <v>-105</v>
      </c>
      <c r="Y55" s="1705">
        <f t="shared" si="20"/>
        <v>-3.3333333335576754E-3</v>
      </c>
      <c r="Z55" s="1705">
        <f t="shared" si="18"/>
        <v>54296.619999999995</v>
      </c>
      <c r="AA55" s="1705">
        <f>F55-S55</f>
        <v>0</v>
      </c>
      <c r="AB55" s="1706">
        <f>T55-F55</f>
        <v>0</v>
      </c>
      <c r="AC55" s="1705">
        <f t="shared" si="19"/>
        <v>0</v>
      </c>
      <c r="AD55" s="1705">
        <f t="shared" si="19"/>
        <v>0</v>
      </c>
    </row>
    <row r="56" spans="1:30" s="2145" customFormat="1" ht="25.5" x14ac:dyDescent="0.2">
      <c r="A56" s="608"/>
      <c r="B56" s="315" t="s">
        <v>631</v>
      </c>
      <c r="C56" s="296"/>
      <c r="D56" s="1644"/>
      <c r="E56" s="1640"/>
      <c r="F56" s="2242"/>
      <c r="G56" s="1825"/>
      <c r="H56" s="2243"/>
      <c r="I56" s="2244"/>
      <c r="J56" s="1846"/>
      <c r="K56" s="609"/>
      <c r="L56" s="606"/>
      <c r="N56" s="307"/>
      <c r="O56" s="315" t="s">
        <v>631</v>
      </c>
      <c r="P56" s="2239">
        <f>$P$50</f>
        <v>9</v>
      </c>
      <c r="Q56" s="1642">
        <f>2467</f>
        <v>2467</v>
      </c>
      <c r="R56" s="2173">
        <f>Q56*P56</f>
        <v>22203</v>
      </c>
      <c r="S56" s="1711"/>
      <c r="T56" s="318"/>
      <c r="U56" s="325"/>
      <c r="V56" s="326"/>
      <c r="X56" s="1704">
        <f t="shared" si="18"/>
        <v>9</v>
      </c>
      <c r="Y56" s="1705">
        <f t="shared" si="18"/>
        <v>2467</v>
      </c>
      <c r="Z56" s="1705">
        <f t="shared" si="18"/>
        <v>22203</v>
      </c>
      <c r="AA56" s="1705">
        <f>F56-S56</f>
        <v>0</v>
      </c>
      <c r="AB56" s="1706">
        <f>T56-F56</f>
        <v>0</v>
      </c>
      <c r="AC56" s="1705">
        <f t="shared" si="19"/>
        <v>0</v>
      </c>
      <c r="AD56" s="1705">
        <f t="shared" si="19"/>
        <v>0</v>
      </c>
    </row>
    <row r="57" spans="1:30" s="2145" customFormat="1" ht="13.5" customHeight="1" thickBot="1" x14ac:dyDescent="0.25">
      <c r="A57" s="1826"/>
      <c r="B57" s="1827" t="s">
        <v>252</v>
      </c>
      <c r="C57" s="1792"/>
      <c r="D57" s="1828"/>
      <c r="E57" s="2231">
        <f>SUM(E52:E55)</f>
        <v>686692.38097902096</v>
      </c>
      <c r="F57" s="2231"/>
      <c r="G57" s="1790"/>
      <c r="H57" s="1790"/>
      <c r="I57" s="1791">
        <v>0</v>
      </c>
      <c r="J57" s="1846">
        <v>686692.55944055947</v>
      </c>
      <c r="K57" s="2245"/>
      <c r="L57" s="1792"/>
      <c r="N57" s="2415"/>
      <c r="O57" s="2416" t="s">
        <v>252</v>
      </c>
      <c r="P57" s="1848"/>
      <c r="Q57" s="1861"/>
      <c r="R57" s="1849">
        <f>SUM(R52:R56)</f>
        <v>716754.6</v>
      </c>
      <c r="S57" s="1849"/>
      <c r="T57" s="318"/>
      <c r="U57" s="318"/>
      <c r="V57" s="1860">
        <v>0</v>
      </c>
      <c r="X57" s="1848"/>
      <c r="Y57" s="1848"/>
      <c r="Z57" s="1849">
        <f>SUM(Z52:Z56)</f>
        <v>30062.219020979042</v>
      </c>
      <c r="AA57" s="1850"/>
      <c r="AB57" s="1790"/>
      <c r="AC57" s="1790"/>
      <c r="AD57" s="1791">
        <v>0</v>
      </c>
    </row>
    <row r="58" spans="1:30" s="1718" customFormat="1" ht="13.5" customHeight="1" x14ac:dyDescent="0.2">
      <c r="B58" s="1718" t="s">
        <v>809</v>
      </c>
      <c r="D58" s="2184"/>
      <c r="E58" s="2275"/>
      <c r="F58" s="2275">
        <f>E57-'[1]חמ"ע'!$E$60</f>
        <v>-7.9999999958090484E-2</v>
      </c>
      <c r="N58" s="2673"/>
      <c r="O58" s="2360" t="s">
        <v>809</v>
      </c>
      <c r="P58" s="2360"/>
      <c r="Q58" s="2669"/>
      <c r="R58" s="2670"/>
      <c r="S58" s="2670"/>
      <c r="T58" s="2360"/>
      <c r="U58" s="2360"/>
      <c r="V58" s="2446"/>
    </row>
    <row r="59" spans="1:30" s="1718" customFormat="1" ht="13.5" customHeight="1" x14ac:dyDescent="0.2">
      <c r="B59" s="1718" t="s">
        <v>238</v>
      </c>
      <c r="D59" s="2184"/>
      <c r="N59" s="2673"/>
      <c r="O59" s="2360" t="s">
        <v>238</v>
      </c>
      <c r="P59" s="2360"/>
      <c r="Q59" s="2669"/>
      <c r="R59" s="2360"/>
      <c r="S59" s="2360"/>
      <c r="T59" s="2360"/>
      <c r="U59" s="2360"/>
      <c r="V59" s="2446"/>
    </row>
    <row r="60" spans="1:30" s="1718" customFormat="1" ht="13.5" customHeight="1" thickBot="1" x14ac:dyDescent="0.25">
      <c r="B60" s="1718" t="s">
        <v>239</v>
      </c>
      <c r="D60" s="2184"/>
      <c r="N60" s="2420"/>
      <c r="O60" s="2421" t="s">
        <v>239</v>
      </c>
      <c r="P60" s="2421"/>
      <c r="Q60" s="2422"/>
      <c r="R60" s="2421"/>
      <c r="S60" s="2421"/>
      <c r="T60" s="2421"/>
      <c r="U60" s="2421"/>
      <c r="V60" s="2423"/>
    </row>
    <row r="61" spans="1:30" s="2145" customFormat="1" ht="13.5" customHeight="1" thickBot="1" x14ac:dyDescent="0.25">
      <c r="D61" s="2192"/>
      <c r="J61" s="1846"/>
      <c r="K61" s="1846"/>
      <c r="O61" s="2950" t="s">
        <v>898</v>
      </c>
      <c r="P61" s="2950"/>
      <c r="Q61" s="2192"/>
      <c r="R61" s="2191"/>
    </row>
    <row r="62" spans="1:30" ht="15.75" customHeight="1" x14ac:dyDescent="0.2">
      <c r="A62" s="2150">
        <v>2.1</v>
      </c>
      <c r="B62" s="2138" t="s">
        <v>260</v>
      </c>
      <c r="C62" s="3186" t="s">
        <v>104</v>
      </c>
      <c r="D62" s="3186"/>
      <c r="E62" s="3186"/>
      <c r="F62" s="2151"/>
      <c r="G62" s="2152"/>
      <c r="H62" s="3186" t="s">
        <v>88</v>
      </c>
      <c r="I62" s="3187"/>
      <c r="N62" s="2150">
        <v>2.1</v>
      </c>
      <c r="O62" s="2138" t="s">
        <v>260</v>
      </c>
      <c r="P62" s="3185" t="s">
        <v>812</v>
      </c>
      <c r="Q62" s="3186"/>
      <c r="R62" s="3186"/>
      <c r="S62" s="2151"/>
      <c r="T62" s="2152"/>
      <c r="U62" s="3186" t="s">
        <v>88</v>
      </c>
      <c r="V62" s="3187"/>
      <c r="X62" s="3188" t="s">
        <v>506</v>
      </c>
      <c r="Y62" s="3186"/>
      <c r="Z62" s="3186"/>
      <c r="AA62" s="2151"/>
      <c r="AB62" s="2153"/>
      <c r="AC62" s="3189" t="s">
        <v>88</v>
      </c>
      <c r="AD62" s="3190"/>
    </row>
    <row r="63" spans="1:30" s="321" customFormat="1" ht="25.5" x14ac:dyDescent="0.2">
      <c r="A63" s="2154"/>
      <c r="B63" s="2155" t="s">
        <v>89</v>
      </c>
      <c r="C63" s="2155" t="s">
        <v>54</v>
      </c>
      <c r="D63" s="2156" t="s">
        <v>91</v>
      </c>
      <c r="E63" s="2155" t="s">
        <v>92</v>
      </c>
      <c r="F63" s="2155"/>
      <c r="G63" s="357"/>
      <c r="H63" s="2155" t="s">
        <v>166</v>
      </c>
      <c r="I63" s="2157" t="s">
        <v>92</v>
      </c>
      <c r="J63" s="320"/>
      <c r="K63" s="320"/>
      <c r="N63" s="2154"/>
      <c r="O63" s="2155" t="s">
        <v>89</v>
      </c>
      <c r="P63" s="2155" t="s">
        <v>54</v>
      </c>
      <c r="Q63" s="2156" t="s">
        <v>91</v>
      </c>
      <c r="R63" s="2235" t="s">
        <v>92</v>
      </c>
      <c r="S63" s="2235"/>
      <c r="T63" s="357"/>
      <c r="U63" s="2155" t="s">
        <v>166</v>
      </c>
      <c r="V63" s="2157" t="s">
        <v>92</v>
      </c>
      <c r="X63" s="2154" t="s">
        <v>90</v>
      </c>
      <c r="Y63" s="2155" t="s">
        <v>91</v>
      </c>
      <c r="Z63" s="2158" t="s">
        <v>507</v>
      </c>
      <c r="AA63" s="2158"/>
      <c r="AB63" s="2161"/>
      <c r="AC63" s="2162" t="s">
        <v>54</v>
      </c>
      <c r="AD63" s="2163" t="s">
        <v>507</v>
      </c>
    </row>
    <row r="64" spans="1:30" s="321" customFormat="1" x14ac:dyDescent="0.2">
      <c r="A64" s="1833"/>
      <c r="B64" s="315" t="s">
        <v>261</v>
      </c>
      <c r="C64" s="312">
        <v>40</v>
      </c>
      <c r="D64" s="1645">
        <f>E72/C64</f>
        <v>10408.183585260706</v>
      </c>
      <c r="E64" s="317"/>
      <c r="F64" s="317"/>
      <c r="G64" s="318"/>
      <c r="H64" s="312">
        <v>100</v>
      </c>
      <c r="I64" s="319"/>
      <c r="J64" s="320"/>
      <c r="K64" s="320"/>
      <c r="N64" s="1833"/>
      <c r="O64" s="315" t="s">
        <v>261</v>
      </c>
      <c r="P64" s="312">
        <v>40</v>
      </c>
      <c r="Q64" s="1710"/>
      <c r="R64" s="1844"/>
      <c r="S64" s="1844"/>
      <c r="T64" s="318"/>
      <c r="U64" s="312">
        <v>100</v>
      </c>
      <c r="V64" s="319"/>
      <c r="X64" s="1704">
        <f t="shared" ref="X64:X71" si="21">P64-C64</f>
        <v>0</v>
      </c>
      <c r="Y64" s="1705"/>
      <c r="Z64" s="1705">
        <f t="shared" ref="Z64:Z71" si="22">R64-E64</f>
        <v>0</v>
      </c>
      <c r="AA64" s="1705">
        <f t="shared" ref="AA64:AA71" si="23">F64-S64</f>
        <v>0</v>
      </c>
      <c r="AB64" s="1706">
        <f t="shared" ref="AB64:AB71" si="24">T64-F64</f>
        <v>0</v>
      </c>
      <c r="AC64" s="1705">
        <f t="shared" ref="AC64:AD67" si="25">U64-H64</f>
        <v>0</v>
      </c>
      <c r="AD64" s="1705">
        <f t="shared" si="25"/>
        <v>0</v>
      </c>
    </row>
    <row r="65" spans="1:30" s="321" customFormat="1" x14ac:dyDescent="0.2">
      <c r="A65" s="314"/>
      <c r="B65" s="315" t="s">
        <v>262</v>
      </c>
      <c r="C65" s="313">
        <v>12</v>
      </c>
      <c r="D65" s="1645"/>
      <c r="E65" s="317"/>
      <c r="F65" s="317"/>
      <c r="G65" s="318"/>
      <c r="H65" s="313">
        <v>12</v>
      </c>
      <c r="I65" s="319"/>
      <c r="J65" s="320"/>
      <c r="K65" s="1851"/>
      <c r="N65" s="314"/>
      <c r="O65" s="315" t="s">
        <v>262</v>
      </c>
      <c r="P65" s="313">
        <v>12</v>
      </c>
      <c r="Q65" s="2246"/>
      <c r="R65" s="1711"/>
      <c r="S65" s="1711"/>
      <c r="T65" s="318"/>
      <c r="U65" s="313">
        <v>12</v>
      </c>
      <c r="V65" s="319"/>
      <c r="X65" s="1704">
        <f t="shared" si="21"/>
        <v>0</v>
      </c>
      <c r="Y65" s="1705">
        <f t="shared" ref="Y65:Y71" si="26">Q65-D65</f>
        <v>0</v>
      </c>
      <c r="Z65" s="1705">
        <f t="shared" si="22"/>
        <v>0</v>
      </c>
      <c r="AA65" s="1705">
        <f t="shared" si="23"/>
        <v>0</v>
      </c>
      <c r="AB65" s="1706">
        <f t="shared" si="24"/>
        <v>0</v>
      </c>
      <c r="AC65" s="1705">
        <f t="shared" si="25"/>
        <v>0</v>
      </c>
      <c r="AD65" s="1705">
        <f t="shared" si="25"/>
        <v>0</v>
      </c>
    </row>
    <row r="66" spans="1:30" s="321" customFormat="1" x14ac:dyDescent="0.2">
      <c r="A66" s="314"/>
      <c r="B66" s="315" t="s">
        <v>263</v>
      </c>
      <c r="C66" s="313">
        <f>4*4.2*11</f>
        <v>184.8</v>
      </c>
      <c r="D66" s="1645"/>
      <c r="E66" s="317"/>
      <c r="F66" s="317"/>
      <c r="G66" s="318"/>
      <c r="H66" s="313"/>
      <c r="I66" s="319"/>
      <c r="J66" s="320"/>
      <c r="K66" s="320"/>
      <c r="N66" s="314"/>
      <c r="O66" s="315" t="s">
        <v>263</v>
      </c>
      <c r="P66" s="313">
        <f>4*4.2*11</f>
        <v>184.8</v>
      </c>
      <c r="Q66" s="2246"/>
      <c r="R66" s="1711"/>
      <c r="S66" s="1711"/>
      <c r="T66" s="318"/>
      <c r="U66" s="313"/>
      <c r="V66" s="319"/>
      <c r="X66" s="1704">
        <f t="shared" si="21"/>
        <v>0</v>
      </c>
      <c r="Y66" s="1705">
        <f t="shared" si="26"/>
        <v>0</v>
      </c>
      <c r="Z66" s="1705">
        <f t="shared" si="22"/>
        <v>0</v>
      </c>
      <c r="AA66" s="1705">
        <f t="shared" si="23"/>
        <v>0</v>
      </c>
      <c r="AB66" s="1706">
        <f t="shared" si="24"/>
        <v>0</v>
      </c>
      <c r="AC66" s="1705">
        <f t="shared" si="25"/>
        <v>0</v>
      </c>
      <c r="AD66" s="1705">
        <f t="shared" si="25"/>
        <v>0</v>
      </c>
    </row>
    <row r="67" spans="1:30" s="321" customFormat="1" ht="38.25" x14ac:dyDescent="0.2">
      <c r="A67" s="295"/>
      <c r="B67" s="1837" t="s">
        <v>264</v>
      </c>
      <c r="C67" s="322">
        <f>C64</f>
        <v>40</v>
      </c>
      <c r="D67" s="1640">
        <f>E67/C67</f>
        <v>6364.05</v>
      </c>
      <c r="E67" s="323">
        <v>254562</v>
      </c>
      <c r="F67" s="323"/>
      <c r="G67" s="318"/>
      <c r="H67" s="322">
        <f>H64</f>
        <v>100</v>
      </c>
      <c r="I67" s="1852">
        <v>667128</v>
      </c>
      <c r="J67" s="1853"/>
      <c r="K67" s="320" t="s">
        <v>265</v>
      </c>
      <c r="N67" s="295"/>
      <c r="O67" s="1837" t="s">
        <v>264</v>
      </c>
      <c r="P67" s="300">
        <f>P64</f>
        <v>40</v>
      </c>
      <c r="Q67" s="1642">
        <v>6364.05</v>
      </c>
      <c r="R67" s="298">
        <f>P67*Q67</f>
        <v>254562</v>
      </c>
      <c r="S67" s="2248"/>
      <c r="T67" s="318"/>
      <c r="U67" s="300">
        <f>U64</f>
        <v>100</v>
      </c>
      <c r="V67" s="2247">
        <v>667128</v>
      </c>
      <c r="X67" s="1704">
        <f t="shared" si="21"/>
        <v>0</v>
      </c>
      <c r="Y67" s="1705">
        <f t="shared" si="26"/>
        <v>0</v>
      </c>
      <c r="Z67" s="1705">
        <f t="shared" si="22"/>
        <v>0</v>
      </c>
      <c r="AA67" s="1705">
        <f t="shared" si="23"/>
        <v>0</v>
      </c>
      <c r="AB67" s="1706">
        <f t="shared" si="24"/>
        <v>0</v>
      </c>
      <c r="AC67" s="1705">
        <f t="shared" si="25"/>
        <v>0</v>
      </c>
      <c r="AD67" s="1705">
        <f t="shared" si="25"/>
        <v>0</v>
      </c>
    </row>
    <row r="68" spans="1:30" s="321" customFormat="1" ht="25.5" x14ac:dyDescent="0.2">
      <c r="A68" s="295"/>
      <c r="B68" s="315" t="s">
        <v>266</v>
      </c>
      <c r="C68" s="313">
        <f>C64*C65</f>
        <v>480</v>
      </c>
      <c r="D68" s="1640">
        <f>E68/C68</f>
        <v>150</v>
      </c>
      <c r="E68" s="323">
        <v>72000</v>
      </c>
      <c r="F68" s="323"/>
      <c r="G68" s="318"/>
      <c r="H68" s="1854" t="s">
        <v>267</v>
      </c>
      <c r="I68" s="1852"/>
      <c r="J68" s="320"/>
      <c r="K68" s="320"/>
      <c r="N68" s="295"/>
      <c r="O68" s="2876" t="s">
        <v>266</v>
      </c>
      <c r="P68" s="296">
        <f>P64*P65</f>
        <v>480</v>
      </c>
      <c r="Q68" s="1642">
        <v>150</v>
      </c>
      <c r="R68" s="298">
        <f>P68*Q68</f>
        <v>72000</v>
      </c>
      <c r="S68" s="2248"/>
      <c r="T68" s="318"/>
      <c r="U68" s="2249" t="s">
        <v>267</v>
      </c>
      <c r="V68" s="2247"/>
      <c r="X68" s="1704">
        <f t="shared" si="21"/>
        <v>0</v>
      </c>
      <c r="Y68" s="1705">
        <f t="shared" si="26"/>
        <v>0</v>
      </c>
      <c r="Z68" s="1705">
        <f t="shared" si="22"/>
        <v>0</v>
      </c>
      <c r="AA68" s="1705">
        <f t="shared" si="23"/>
        <v>0</v>
      </c>
      <c r="AB68" s="1706">
        <f t="shared" si="24"/>
        <v>0</v>
      </c>
      <c r="AC68" s="1705"/>
      <c r="AD68" s="1705">
        <f>V68-I68</f>
        <v>0</v>
      </c>
    </row>
    <row r="69" spans="1:30" s="321" customFormat="1" x14ac:dyDescent="0.2">
      <c r="A69" s="295"/>
      <c r="B69" s="1837" t="s">
        <v>268</v>
      </c>
      <c r="C69" s="312">
        <f>C64*C65</f>
        <v>480</v>
      </c>
      <c r="D69" s="1640">
        <f>E69/C69</f>
        <v>-335.96386789494125</v>
      </c>
      <c r="E69" s="323">
        <v>-161262.65658957179</v>
      </c>
      <c r="F69" s="323"/>
      <c r="G69" s="318"/>
      <c r="H69" s="312">
        <f>H64</f>
        <v>100</v>
      </c>
      <c r="I69" s="1852">
        <v>-667128</v>
      </c>
      <c r="J69" s="320"/>
      <c r="K69" s="320"/>
      <c r="N69" s="295"/>
      <c r="O69" s="1837" t="s">
        <v>268</v>
      </c>
      <c r="P69" s="1845">
        <f>P64*P65</f>
        <v>480</v>
      </c>
      <c r="Q69" s="1643">
        <v>-335.96386789494125</v>
      </c>
      <c r="R69" s="298">
        <f>P69*Q69</f>
        <v>-161262.65658957179</v>
      </c>
      <c r="S69" s="2248"/>
      <c r="T69" s="318"/>
      <c r="U69" s="1845">
        <f>U64</f>
        <v>100</v>
      </c>
      <c r="V69" s="2247">
        <v>-667128</v>
      </c>
      <c r="X69" s="1704">
        <f t="shared" si="21"/>
        <v>0</v>
      </c>
      <c r="Y69" s="1705">
        <f t="shared" si="26"/>
        <v>0</v>
      </c>
      <c r="Z69" s="1705">
        <f t="shared" si="22"/>
        <v>0</v>
      </c>
      <c r="AA69" s="1705">
        <f t="shared" si="23"/>
        <v>0</v>
      </c>
      <c r="AB69" s="1706">
        <f t="shared" si="24"/>
        <v>0</v>
      </c>
      <c r="AC69" s="1705">
        <f>U69-H69</f>
        <v>0</v>
      </c>
      <c r="AD69" s="1705">
        <f>V69-I69</f>
        <v>0</v>
      </c>
    </row>
    <row r="70" spans="1:30" s="321" customFormat="1" ht="25.5" x14ac:dyDescent="0.2">
      <c r="A70" s="295"/>
      <c r="B70" s="1837" t="s">
        <v>269</v>
      </c>
      <c r="C70" s="312">
        <f>C64</f>
        <v>40</v>
      </c>
      <c r="D70" s="1640">
        <f>E70/C70</f>
        <v>6275.7</v>
      </c>
      <c r="E70" s="323">
        <v>251028</v>
      </c>
      <c r="F70" s="323"/>
      <c r="G70" s="318"/>
      <c r="H70" s="312"/>
      <c r="I70" s="1852">
        <v>1313600</v>
      </c>
      <c r="J70" s="320"/>
      <c r="K70" s="320"/>
      <c r="N70" s="295"/>
      <c r="O70" s="1837" t="s">
        <v>269</v>
      </c>
      <c r="P70" s="1845">
        <v>8</v>
      </c>
      <c r="Q70" s="1643">
        <f>100*12*J1</f>
        <v>4560</v>
      </c>
      <c r="R70" s="298">
        <f>P70*Q70</f>
        <v>36480</v>
      </c>
      <c r="S70" s="2248"/>
      <c r="T70" s="318"/>
      <c r="U70" s="1845"/>
      <c r="V70" s="2247">
        <f>I70/12*19</f>
        <v>2079866.6666666667</v>
      </c>
      <c r="X70" s="1704">
        <f t="shared" si="21"/>
        <v>-32</v>
      </c>
      <c r="Y70" s="1705">
        <f t="shared" si="26"/>
        <v>-1715.6999999999998</v>
      </c>
      <c r="Z70" s="1705">
        <f t="shared" si="22"/>
        <v>-214548</v>
      </c>
      <c r="AA70" s="1705">
        <f t="shared" si="23"/>
        <v>0</v>
      </c>
      <c r="AB70" s="1706">
        <f t="shared" si="24"/>
        <v>0</v>
      </c>
      <c r="AC70" s="1705">
        <f>U70-H70</f>
        <v>0</v>
      </c>
      <c r="AD70" s="1705">
        <f>V70-I70</f>
        <v>766266.66666666674</v>
      </c>
    </row>
    <row r="71" spans="1:30" s="321" customFormat="1" x14ac:dyDescent="0.2">
      <c r="A71" s="295"/>
      <c r="B71" s="1837" t="s">
        <v>270</v>
      </c>
      <c r="C71" s="312"/>
      <c r="D71" s="1639"/>
      <c r="E71" s="323">
        <v>0</v>
      </c>
      <c r="F71" s="323"/>
      <c r="G71" s="318"/>
      <c r="H71" s="325"/>
      <c r="I71" s="1852">
        <v>381200</v>
      </c>
      <c r="J71" s="320"/>
      <c r="K71" s="320"/>
      <c r="N71" s="295"/>
      <c r="O71" s="1837" t="s">
        <v>270</v>
      </c>
      <c r="P71" s="2250">
        <v>0</v>
      </c>
      <c r="Q71" s="2251"/>
      <c r="R71" s="2248">
        <f>P71*Q71</f>
        <v>0</v>
      </c>
      <c r="S71" s="2248">
        <v>0</v>
      </c>
      <c r="T71" s="318"/>
      <c r="U71" s="325"/>
      <c r="V71" s="2247">
        <f>I71/12*19</f>
        <v>603566.66666666674</v>
      </c>
      <c r="X71" s="1704">
        <f t="shared" si="21"/>
        <v>0</v>
      </c>
      <c r="Y71" s="1705">
        <f t="shared" si="26"/>
        <v>0</v>
      </c>
      <c r="Z71" s="1705">
        <f t="shared" si="22"/>
        <v>0</v>
      </c>
      <c r="AA71" s="1705">
        <f t="shared" si="23"/>
        <v>0</v>
      </c>
      <c r="AB71" s="1706">
        <f t="shared" si="24"/>
        <v>0</v>
      </c>
      <c r="AC71" s="1705">
        <f>U71-H71</f>
        <v>0</v>
      </c>
      <c r="AD71" s="1705">
        <f>V71-I71</f>
        <v>222366.66666666674</v>
      </c>
    </row>
    <row r="72" spans="1:30" s="321" customFormat="1" ht="13.5" customHeight="1" thickBot="1" x14ac:dyDescent="0.25">
      <c r="A72" s="1855"/>
      <c r="B72" s="1856" t="s">
        <v>13</v>
      </c>
      <c r="C72" s="1857"/>
      <c r="D72" s="1858"/>
      <c r="E72" s="1859">
        <f>SUM(E67:E71)</f>
        <v>416327.34341042821</v>
      </c>
      <c r="F72" s="1859"/>
      <c r="G72" s="318"/>
      <c r="H72" s="318"/>
      <c r="I72" s="1860">
        <f>SUM(I64:I71)</f>
        <v>1694800</v>
      </c>
      <c r="J72" s="320">
        <v>416327.34341042821</v>
      </c>
      <c r="K72" s="320">
        <v>1694800</v>
      </c>
      <c r="N72" s="1855"/>
      <c r="O72" s="1856" t="s">
        <v>13</v>
      </c>
      <c r="P72" s="1848"/>
      <c r="Q72" s="1861"/>
      <c r="R72" s="1849">
        <f>SUM(R67:R71)</f>
        <v>201779.34341042821</v>
      </c>
      <c r="S72" s="1849"/>
      <c r="T72" s="318"/>
      <c r="U72" s="318"/>
      <c r="V72" s="1860">
        <f>SUM(V67:V71)</f>
        <v>2683433.3333333335</v>
      </c>
      <c r="X72" s="1848"/>
      <c r="Y72" s="1848"/>
      <c r="Z72" s="1849">
        <f>SUM(Z67:Z71)</f>
        <v>-214548</v>
      </c>
      <c r="AA72" s="1850"/>
      <c r="AB72" s="1790"/>
      <c r="AC72" s="1790"/>
      <c r="AD72" s="1791">
        <v>0</v>
      </c>
    </row>
    <row r="73" spans="1:30" s="2252" customFormat="1" ht="36" customHeight="1" x14ac:dyDescent="0.2">
      <c r="A73" s="2748"/>
      <c r="B73" s="3193" t="s">
        <v>271</v>
      </c>
      <c r="C73" s="3193"/>
      <c r="D73" s="3193"/>
      <c r="E73" s="3193"/>
      <c r="F73" s="3193"/>
      <c r="G73" s="3193"/>
      <c r="H73" s="3193"/>
      <c r="I73" s="3194"/>
      <c r="J73" s="2253"/>
      <c r="K73" s="2253"/>
      <c r="N73" s="3198" t="s">
        <v>271</v>
      </c>
      <c r="O73" s="3193"/>
      <c r="P73" s="3193"/>
      <c r="Q73" s="3193"/>
      <c r="R73" s="3193"/>
      <c r="S73" s="3193"/>
      <c r="T73" s="3193"/>
      <c r="U73" s="3193"/>
      <c r="V73" s="2675">
        <f>-V72+'[3]פרוט (4)'!$Z$83</f>
        <v>0</v>
      </c>
      <c r="X73" s="328"/>
      <c r="Y73" s="328"/>
      <c r="Z73" s="328"/>
      <c r="AA73" s="328"/>
      <c r="AB73" s="328"/>
      <c r="AC73" s="328"/>
      <c r="AD73" s="328"/>
    </row>
    <row r="74" spans="1:30" s="2252" customFormat="1" ht="66.75" customHeight="1" x14ac:dyDescent="0.2">
      <c r="A74" s="2749"/>
      <c r="B74" s="3195" t="s">
        <v>272</v>
      </c>
      <c r="C74" s="3195"/>
      <c r="D74" s="3195"/>
      <c r="E74" s="3195"/>
      <c r="F74" s="3195"/>
      <c r="G74" s="3195"/>
      <c r="H74" s="3195"/>
      <c r="I74" s="3196"/>
      <c r="J74" s="2253"/>
      <c r="K74" s="2253"/>
      <c r="N74" s="3204" t="s">
        <v>272</v>
      </c>
      <c r="O74" s="3195"/>
      <c r="P74" s="3195"/>
      <c r="Q74" s="3195"/>
      <c r="R74" s="3195"/>
      <c r="S74" s="3195"/>
      <c r="T74" s="3195"/>
      <c r="U74" s="3195"/>
      <c r="V74" s="2811">
        <f>-R72+'[3]פרוט (4)'!$V$83</f>
        <v>0</v>
      </c>
      <c r="X74" s="328"/>
      <c r="Y74" s="328"/>
      <c r="Z74" s="328"/>
      <c r="AA74" s="328"/>
      <c r="AB74" s="328"/>
      <c r="AC74" s="328"/>
      <c r="AD74" s="328"/>
    </row>
    <row r="75" spans="1:30" s="1794" customFormat="1" x14ac:dyDescent="0.2">
      <c r="A75" s="2750"/>
      <c r="B75" s="2360" t="s">
        <v>273</v>
      </c>
      <c r="C75" s="2345"/>
      <c r="D75" s="2674"/>
      <c r="E75" s="2345"/>
      <c r="F75" s="2345"/>
      <c r="G75" s="2345"/>
      <c r="H75" s="2345"/>
      <c r="I75" s="2751"/>
      <c r="J75" s="1793"/>
      <c r="K75" s="1793"/>
      <c r="N75" s="2673" t="s">
        <v>273</v>
      </c>
      <c r="O75" s="2345"/>
      <c r="P75" s="2674"/>
      <c r="Q75" s="2345"/>
      <c r="R75" s="2345"/>
      <c r="S75" s="2345"/>
      <c r="T75" s="2345"/>
      <c r="U75" s="2345"/>
      <c r="V75" s="2676"/>
      <c r="X75" s="328"/>
      <c r="Y75" s="328"/>
      <c r="Z75" s="328"/>
      <c r="AA75" s="328"/>
      <c r="AB75" s="328"/>
      <c r="AC75" s="328"/>
      <c r="AD75" s="328"/>
    </row>
    <row r="76" spans="1:30" s="1794" customFormat="1" ht="13.5" thickBot="1" x14ac:dyDescent="0.25">
      <c r="A76" s="2752"/>
      <c r="B76" s="2421" t="s">
        <v>274</v>
      </c>
      <c r="C76" s="2677"/>
      <c r="D76" s="2678"/>
      <c r="E76" s="2677"/>
      <c r="F76" s="2677"/>
      <c r="G76" s="2677"/>
      <c r="H76" s="2677"/>
      <c r="I76" s="2753"/>
      <c r="J76" s="1793"/>
      <c r="K76" s="1793"/>
      <c r="N76" s="2420" t="s">
        <v>274</v>
      </c>
      <c r="O76" s="2677"/>
      <c r="P76" s="2678"/>
      <c r="Q76" s="2677"/>
      <c r="R76" s="2677"/>
      <c r="S76" s="2677"/>
      <c r="T76" s="2677"/>
      <c r="U76" s="2677"/>
      <c r="V76" s="2679"/>
      <c r="X76" s="328"/>
      <c r="Y76" s="328"/>
      <c r="Z76" s="328"/>
      <c r="AA76" s="328"/>
      <c r="AB76" s="328"/>
      <c r="AC76" s="328"/>
      <c r="AD76" s="328"/>
    </row>
    <row r="77" spans="1:30" s="1794" customFormat="1" ht="13.5" thickBot="1" x14ac:dyDescent="0.25">
      <c r="A77" s="2254"/>
      <c r="B77" s="1718"/>
      <c r="C77" s="2254"/>
      <c r="D77" s="2255"/>
      <c r="E77" s="2837">
        <f>-E72+'[2]חמ"ע'!$E$89</f>
        <v>0</v>
      </c>
      <c r="F77" s="2254"/>
      <c r="G77" s="2254"/>
      <c r="H77" s="2254"/>
      <c r="I77" s="2254"/>
      <c r="J77" s="1793"/>
      <c r="K77" s="1793"/>
      <c r="Q77" s="2256"/>
      <c r="X77" s="328"/>
      <c r="Y77" s="328"/>
      <c r="Z77" s="328"/>
      <c r="AA77" s="328"/>
      <c r="AB77" s="328"/>
      <c r="AC77" s="328"/>
      <c r="AD77" s="328"/>
    </row>
    <row r="78" spans="1:30" ht="30" customHeight="1" x14ac:dyDescent="0.2">
      <c r="A78" s="2150">
        <v>2.2000000000000002</v>
      </c>
      <c r="B78" s="2138" t="s">
        <v>275</v>
      </c>
      <c r="C78" s="3186" t="s">
        <v>104</v>
      </c>
      <c r="D78" s="3186"/>
      <c r="E78" s="3186"/>
      <c r="F78" s="2151"/>
      <c r="G78" s="2152"/>
      <c r="H78" s="3186" t="s">
        <v>88</v>
      </c>
      <c r="I78" s="3187"/>
      <c r="N78" s="2150">
        <v>2.2000000000000002</v>
      </c>
      <c r="O78" s="2138" t="s">
        <v>275</v>
      </c>
      <c r="P78" s="3185" t="s">
        <v>812</v>
      </c>
      <c r="Q78" s="3186"/>
      <c r="R78" s="3186"/>
      <c r="S78" s="2151"/>
      <c r="T78" s="2152"/>
      <c r="U78" s="3186" t="s">
        <v>88</v>
      </c>
      <c r="V78" s="3187"/>
      <c r="X78" s="3188" t="s">
        <v>506</v>
      </c>
      <c r="Y78" s="3186"/>
      <c r="Z78" s="3186"/>
      <c r="AA78" s="2151"/>
      <c r="AB78" s="2153"/>
      <c r="AC78" s="3189" t="s">
        <v>88</v>
      </c>
      <c r="AD78" s="3190"/>
    </row>
    <row r="79" spans="1:30" ht="25.5" x14ac:dyDescent="0.2">
      <c r="A79" s="2154"/>
      <c r="B79" s="2155" t="s">
        <v>89</v>
      </c>
      <c r="C79" s="2155" t="s">
        <v>54</v>
      </c>
      <c r="D79" s="2156" t="s">
        <v>91</v>
      </c>
      <c r="E79" s="2155" t="s">
        <v>92</v>
      </c>
      <c r="F79" s="2155"/>
      <c r="G79" s="357"/>
      <c r="H79" s="2155" t="s">
        <v>166</v>
      </c>
      <c r="I79" s="2157" t="s">
        <v>92</v>
      </c>
      <c r="N79" s="2154"/>
      <c r="O79" s="2155" t="s">
        <v>89</v>
      </c>
      <c r="P79" s="2155" t="s">
        <v>54</v>
      </c>
      <c r="Q79" s="2156" t="s">
        <v>91</v>
      </c>
      <c r="R79" s="2235" t="s">
        <v>92</v>
      </c>
      <c r="S79" s="2155"/>
      <c r="T79" s="357"/>
      <c r="U79" s="2155" t="s">
        <v>166</v>
      </c>
      <c r="V79" s="2157" t="s">
        <v>92</v>
      </c>
      <c r="X79" s="2154" t="s">
        <v>90</v>
      </c>
      <c r="Y79" s="2155" t="s">
        <v>91</v>
      </c>
      <c r="Z79" s="2158" t="s">
        <v>507</v>
      </c>
      <c r="AA79" s="2158"/>
      <c r="AB79" s="2161"/>
      <c r="AC79" s="2162" t="s">
        <v>54</v>
      </c>
      <c r="AD79" s="2163" t="s">
        <v>507</v>
      </c>
    </row>
    <row r="80" spans="1:30" x14ac:dyDescent="0.2">
      <c r="A80" s="1833"/>
      <c r="B80" s="315" t="s">
        <v>276</v>
      </c>
      <c r="C80" s="312">
        <v>42</v>
      </c>
      <c r="D80" s="1640">
        <f>E87/C80</f>
        <v>10101.733333333334</v>
      </c>
      <c r="E80" s="317"/>
      <c r="F80" s="317"/>
      <c r="G80" s="318"/>
      <c r="H80" s="325"/>
      <c r="I80" s="326"/>
      <c r="N80" s="1833"/>
      <c r="O80" s="315" t="s">
        <v>276</v>
      </c>
      <c r="P80" s="1840">
        <v>66</v>
      </c>
      <c r="Q80" s="1710"/>
      <c r="R80" s="1711"/>
      <c r="S80" s="317"/>
      <c r="T80" s="318"/>
      <c r="U80" s="325"/>
      <c r="V80" s="326"/>
      <c r="X80" s="1841">
        <f t="shared" ref="X80:X86" si="27">P80-C80</f>
        <v>24</v>
      </c>
      <c r="Y80" s="1705"/>
      <c r="Z80" s="1705">
        <f t="shared" ref="Z80:Z86" si="28">R80-E80</f>
        <v>0</v>
      </c>
      <c r="AA80" s="1705">
        <f t="shared" ref="AA80:AA86" si="29">F80-S80</f>
        <v>0</v>
      </c>
      <c r="AB80" s="1706">
        <f t="shared" ref="AB80:AB86" si="30">T80-F80</f>
        <v>0</v>
      </c>
      <c r="AC80" s="1705">
        <f t="shared" ref="AC80:AD83" si="31">U80-H80</f>
        <v>0</v>
      </c>
      <c r="AD80" s="1705">
        <f t="shared" si="31"/>
        <v>0</v>
      </c>
    </row>
    <row r="81" spans="1:30" ht="25.5" x14ac:dyDescent="0.2">
      <c r="A81" s="314"/>
      <c r="B81" s="315" t="s">
        <v>802</v>
      </c>
      <c r="C81" s="312">
        <v>12</v>
      </c>
      <c r="D81" s="1640"/>
      <c r="E81" s="317"/>
      <c r="F81" s="317"/>
      <c r="G81" s="318"/>
      <c r="H81" s="325"/>
      <c r="I81" s="326"/>
      <c r="N81" s="314"/>
      <c r="O81" s="315" t="s">
        <v>802</v>
      </c>
      <c r="P81" s="1840">
        <v>12</v>
      </c>
      <c r="Q81" s="1710"/>
      <c r="R81" s="1711"/>
      <c r="S81" s="317"/>
      <c r="T81" s="318"/>
      <c r="U81" s="325"/>
      <c r="V81" s="326"/>
      <c r="X81" s="1704">
        <f t="shared" si="27"/>
        <v>0</v>
      </c>
      <c r="Y81" s="1705">
        <f t="shared" ref="Y81:Y86" si="32">Q81-D81</f>
        <v>0</v>
      </c>
      <c r="Z81" s="1705">
        <f t="shared" si="28"/>
        <v>0</v>
      </c>
      <c r="AA81" s="1705">
        <f t="shared" si="29"/>
        <v>0</v>
      </c>
      <c r="AB81" s="1706">
        <f t="shared" si="30"/>
        <v>0</v>
      </c>
      <c r="AC81" s="1705">
        <f t="shared" si="31"/>
        <v>0</v>
      </c>
      <c r="AD81" s="1705">
        <f t="shared" si="31"/>
        <v>0</v>
      </c>
    </row>
    <row r="82" spans="1:30" x14ac:dyDescent="0.2">
      <c r="A82" s="314"/>
      <c r="B82" s="315" t="s">
        <v>277</v>
      </c>
      <c r="C82" s="312">
        <v>126</v>
      </c>
      <c r="D82" s="1640"/>
      <c r="E82" s="317"/>
      <c r="F82" s="317"/>
      <c r="G82" s="318"/>
      <c r="H82" s="325"/>
      <c r="I82" s="326"/>
      <c r="N82" s="314"/>
      <c r="O82" s="315" t="s">
        <v>277</v>
      </c>
      <c r="P82" s="1840">
        <v>126</v>
      </c>
      <c r="Q82" s="1710"/>
      <c r="R82" s="1711"/>
      <c r="S82" s="317"/>
      <c r="T82" s="318"/>
      <c r="U82" s="325"/>
      <c r="V82" s="326"/>
      <c r="X82" s="1704">
        <f t="shared" si="27"/>
        <v>0</v>
      </c>
      <c r="Y82" s="1705">
        <f t="shared" si="32"/>
        <v>0</v>
      </c>
      <c r="Z82" s="1705">
        <f t="shared" si="28"/>
        <v>0</v>
      </c>
      <c r="AA82" s="1705">
        <f t="shared" si="29"/>
        <v>0</v>
      </c>
      <c r="AB82" s="1706">
        <f t="shared" si="30"/>
        <v>0</v>
      </c>
      <c r="AC82" s="1705">
        <f t="shared" si="31"/>
        <v>0</v>
      </c>
      <c r="AD82" s="1705">
        <f t="shared" si="31"/>
        <v>0</v>
      </c>
    </row>
    <row r="83" spans="1:30" ht="51" x14ac:dyDescent="0.2">
      <c r="A83" s="295"/>
      <c r="B83" s="1837" t="s">
        <v>278</v>
      </c>
      <c r="C83" s="1842">
        <f>C80</f>
        <v>42</v>
      </c>
      <c r="D83" s="1747">
        <f>E83/C83</f>
        <v>4628.3999999999996</v>
      </c>
      <c r="E83" s="1843">
        <v>194392.8</v>
      </c>
      <c r="F83" s="312"/>
      <c r="G83" s="318"/>
      <c r="H83" s="325"/>
      <c r="I83" s="326"/>
      <c r="N83" s="295"/>
      <c r="O83" s="1837" t="s">
        <v>278</v>
      </c>
      <c r="P83" s="1843">
        <f>P80</f>
        <v>66</v>
      </c>
      <c r="Q83" s="2838">
        <v>4628</v>
      </c>
      <c r="R83" s="1843">
        <f>P83*Q83</f>
        <v>305448</v>
      </c>
      <c r="S83" s="1845">
        <v>305474.39999999997</v>
      </c>
      <c r="T83" s="318"/>
      <c r="U83" s="325"/>
      <c r="V83" s="326"/>
      <c r="X83" s="1704">
        <f t="shared" si="27"/>
        <v>24</v>
      </c>
      <c r="Y83" s="1705">
        <f t="shared" si="32"/>
        <v>-0.3999999999996362</v>
      </c>
      <c r="Z83" s="1705">
        <f t="shared" si="28"/>
        <v>111055.20000000001</v>
      </c>
      <c r="AA83" s="1705">
        <f t="shared" si="29"/>
        <v>-305474.39999999997</v>
      </c>
      <c r="AB83" s="1706">
        <f t="shared" si="30"/>
        <v>0</v>
      </c>
      <c r="AC83" s="1705">
        <f t="shared" si="31"/>
        <v>0</v>
      </c>
      <c r="AD83" s="1705">
        <f t="shared" si="31"/>
        <v>0</v>
      </c>
    </row>
    <row r="84" spans="1:30" ht="25.5" x14ac:dyDescent="0.2">
      <c r="A84" s="295"/>
      <c r="B84" s="315" t="s">
        <v>266</v>
      </c>
      <c r="C84" s="1845">
        <f>C80*C81</f>
        <v>504</v>
      </c>
      <c r="D84" s="1747">
        <f>E84/C84</f>
        <v>150</v>
      </c>
      <c r="E84" s="1843">
        <v>75600</v>
      </c>
      <c r="F84" s="312"/>
      <c r="G84" s="318"/>
      <c r="H84" s="325"/>
      <c r="I84" s="326"/>
      <c r="N84" s="295"/>
      <c r="O84" s="2876" t="s">
        <v>266</v>
      </c>
      <c r="P84" s="1843">
        <f>P80*P81</f>
        <v>792</v>
      </c>
      <c r="Q84" s="2838">
        <v>150</v>
      </c>
      <c r="R84" s="1843">
        <f>P84*Q84</f>
        <v>118800</v>
      </c>
      <c r="S84" s="1845">
        <v>118800</v>
      </c>
      <c r="T84" s="318"/>
      <c r="U84" s="325"/>
      <c r="V84" s="326"/>
      <c r="X84" s="1704">
        <f t="shared" si="27"/>
        <v>288</v>
      </c>
      <c r="Y84" s="1705">
        <f t="shared" si="32"/>
        <v>0</v>
      </c>
      <c r="Z84" s="1705">
        <f t="shared" si="28"/>
        <v>43200</v>
      </c>
      <c r="AA84" s="1705">
        <f t="shared" si="29"/>
        <v>-118800</v>
      </c>
      <c r="AB84" s="1706">
        <f t="shared" si="30"/>
        <v>0</v>
      </c>
      <c r="AC84" s="1705"/>
      <c r="AD84" s="1705">
        <f>V84-I84</f>
        <v>0</v>
      </c>
    </row>
    <row r="85" spans="1:30" x14ac:dyDescent="0.2">
      <c r="A85" s="295"/>
      <c r="B85" s="315" t="s">
        <v>279</v>
      </c>
      <c r="C85" s="1842">
        <f>C80</f>
        <v>42</v>
      </c>
      <c r="D85" s="1747">
        <f>E85/C85</f>
        <v>760</v>
      </c>
      <c r="E85" s="1843">
        <v>31920</v>
      </c>
      <c r="F85" s="312"/>
      <c r="G85" s="318"/>
      <c r="H85" s="325"/>
      <c r="I85" s="326"/>
      <c r="J85" s="1846"/>
      <c r="N85" s="295"/>
      <c r="O85" s="315" t="s">
        <v>279</v>
      </c>
      <c r="P85" s="1843">
        <v>17</v>
      </c>
      <c r="Q85" s="2838">
        <f>100*$J$1</f>
        <v>380</v>
      </c>
      <c r="R85" s="1843">
        <f>P85*Q85</f>
        <v>6460</v>
      </c>
      <c r="S85" s="1845">
        <v>6460</v>
      </c>
      <c r="T85" s="318"/>
      <c r="U85" s="325"/>
      <c r="V85" s="326"/>
      <c r="W85" s="1847"/>
      <c r="X85" s="1704">
        <f t="shared" si="27"/>
        <v>-25</v>
      </c>
      <c r="Y85" s="1705">
        <f t="shared" si="32"/>
        <v>-380</v>
      </c>
      <c r="Z85" s="1705">
        <f t="shared" si="28"/>
        <v>-25460</v>
      </c>
      <c r="AA85" s="1705">
        <f t="shared" si="29"/>
        <v>-6460</v>
      </c>
      <c r="AB85" s="1706">
        <f t="shared" si="30"/>
        <v>0</v>
      </c>
      <c r="AC85" s="1705">
        <f>U85-H85</f>
        <v>0</v>
      </c>
      <c r="AD85" s="1705">
        <f>V85-I85</f>
        <v>0</v>
      </c>
    </row>
    <row r="86" spans="1:30" ht="25.5" x14ac:dyDescent="0.2">
      <c r="A86" s="295"/>
      <c r="B86" s="1837" t="s">
        <v>280</v>
      </c>
      <c r="C86" s="1845">
        <f>C80</f>
        <v>42</v>
      </c>
      <c r="D86" s="1747">
        <f>E86/C86</f>
        <v>2913.3333333333335</v>
      </c>
      <c r="E86" s="1843">
        <v>122360</v>
      </c>
      <c r="F86" s="312"/>
      <c r="G86" s="318"/>
      <c r="H86" s="325"/>
      <c r="I86" s="326"/>
      <c r="N86" s="295"/>
      <c r="O86" s="1837" t="s">
        <v>280</v>
      </c>
      <c r="P86" s="1843">
        <v>20</v>
      </c>
      <c r="Q86" s="2838">
        <v>2913</v>
      </c>
      <c r="R86" s="1843">
        <f>P86*Q86</f>
        <v>58260</v>
      </c>
      <c r="S86" s="1845">
        <v>58266.666666666672</v>
      </c>
      <c r="T86" s="318"/>
      <c r="U86" s="325"/>
      <c r="V86" s="326"/>
      <c r="X86" s="1704">
        <f t="shared" si="27"/>
        <v>-22</v>
      </c>
      <c r="Y86" s="1705">
        <f t="shared" si="32"/>
        <v>-0.33333333333348492</v>
      </c>
      <c r="Z86" s="1705">
        <f t="shared" si="28"/>
        <v>-64100</v>
      </c>
      <c r="AA86" s="1705">
        <f t="shared" si="29"/>
        <v>-58266.666666666672</v>
      </c>
      <c r="AB86" s="1706">
        <f t="shared" si="30"/>
        <v>0</v>
      </c>
      <c r="AC86" s="1705">
        <f>U86-H86</f>
        <v>0</v>
      </c>
      <c r="AD86" s="1705">
        <f>V86-I86</f>
        <v>0</v>
      </c>
    </row>
    <row r="87" spans="1:30" ht="13.5" customHeight="1" thickBot="1" x14ac:dyDescent="0.25">
      <c r="A87" s="1785"/>
      <c r="B87" s="1786" t="s">
        <v>13</v>
      </c>
      <c r="C87" s="1787"/>
      <c r="D87" s="1788"/>
      <c r="E87" s="1789">
        <f>SUM(E83:E86)</f>
        <v>424272.8</v>
      </c>
      <c r="F87" s="1789"/>
      <c r="G87" s="1790"/>
      <c r="H87" s="1790"/>
      <c r="I87" s="1791">
        <f>SUM(I80:I86)</f>
        <v>0</v>
      </c>
      <c r="N87" s="1855"/>
      <c r="O87" s="1856" t="s">
        <v>13</v>
      </c>
      <c r="P87" s="1857"/>
      <c r="Q87" s="1858"/>
      <c r="R87" s="2680">
        <f>SUM(R83:R86)</f>
        <v>488968</v>
      </c>
      <c r="S87" s="2680"/>
      <c r="T87" s="318"/>
      <c r="U87" s="318"/>
      <c r="V87" s="1860">
        <f>SUM(V80:V86)</f>
        <v>0</v>
      </c>
      <c r="X87" s="1848"/>
      <c r="Y87" s="1848"/>
      <c r="Z87" s="1849">
        <f>SUM(Z83:Z86)</f>
        <v>64695.200000000012</v>
      </c>
      <c r="AA87" s="1850"/>
      <c r="AB87" s="1790"/>
      <c r="AC87" s="1790"/>
      <c r="AD87" s="1791">
        <v>0</v>
      </c>
    </row>
    <row r="88" spans="1:30" ht="13.5" customHeight="1" x14ac:dyDescent="0.2">
      <c r="A88" s="321"/>
      <c r="B88" s="1718" t="s">
        <v>273</v>
      </c>
      <c r="C88" s="321"/>
      <c r="E88" s="2258"/>
      <c r="F88" s="2258"/>
      <c r="N88" s="2673" t="s">
        <v>273</v>
      </c>
      <c r="O88" s="1715"/>
      <c r="P88" s="1645"/>
      <c r="Q88" s="2681"/>
      <c r="R88" s="2681"/>
      <c r="S88" s="325"/>
      <c r="T88" s="1715"/>
      <c r="U88" s="1715"/>
      <c r="V88" s="2682"/>
    </row>
    <row r="89" spans="1:30" ht="72.75" customHeight="1" thickBot="1" x14ac:dyDescent="0.25">
      <c r="A89" s="321"/>
      <c r="B89" s="3197" t="s">
        <v>281</v>
      </c>
      <c r="C89" s="3197"/>
      <c r="D89" s="3197"/>
      <c r="E89" s="3197"/>
      <c r="F89" s="3197"/>
      <c r="G89" s="3197"/>
      <c r="H89" s="3197"/>
      <c r="I89" s="3197"/>
      <c r="N89" s="3205" t="s">
        <v>281</v>
      </c>
      <c r="O89" s="3206"/>
      <c r="P89" s="3206"/>
      <c r="Q89" s="3206"/>
      <c r="R89" s="3206"/>
      <c r="S89" s="3206"/>
      <c r="T89" s="3206"/>
      <c r="U89" s="3206"/>
      <c r="V89" s="2683"/>
    </row>
    <row r="90" spans="1:30" ht="25.5" x14ac:dyDescent="0.2">
      <c r="A90" s="2150">
        <v>2.2999999999999998</v>
      </c>
      <c r="B90" s="2138" t="s">
        <v>282</v>
      </c>
      <c r="C90" s="3186" t="s">
        <v>104</v>
      </c>
      <c r="D90" s="3186"/>
      <c r="E90" s="3186"/>
      <c r="F90" s="2151"/>
      <c r="G90" s="2152"/>
      <c r="H90" s="3186" t="s">
        <v>88</v>
      </c>
      <c r="I90" s="3187"/>
      <c r="N90" s="2150">
        <v>2.2999999999999998</v>
      </c>
      <c r="O90" s="2138" t="s">
        <v>282</v>
      </c>
      <c r="P90" s="3185" t="s">
        <v>812</v>
      </c>
      <c r="Q90" s="3186"/>
      <c r="R90" s="3186"/>
      <c r="S90" s="2151"/>
      <c r="T90" s="2152"/>
      <c r="U90" s="3186" t="s">
        <v>88</v>
      </c>
      <c r="V90" s="3187"/>
      <c r="X90" s="3188" t="s">
        <v>506</v>
      </c>
      <c r="Y90" s="3186"/>
      <c r="Z90" s="3186"/>
      <c r="AA90" s="2151"/>
      <c r="AB90" s="2153"/>
      <c r="AC90" s="3189" t="s">
        <v>88</v>
      </c>
      <c r="AD90" s="3190"/>
    </row>
    <row r="91" spans="1:30" ht="25.5" x14ac:dyDescent="0.2">
      <c r="A91" s="2154"/>
      <c r="B91" s="2155" t="s">
        <v>89</v>
      </c>
      <c r="C91" s="2155" t="s">
        <v>54</v>
      </c>
      <c r="D91" s="2156" t="s">
        <v>91</v>
      </c>
      <c r="E91" s="2155" t="s">
        <v>92</v>
      </c>
      <c r="F91" s="2155"/>
      <c r="G91" s="357"/>
      <c r="H91" s="2155" t="s">
        <v>166</v>
      </c>
      <c r="I91" s="2157" t="s">
        <v>92</v>
      </c>
      <c r="N91" s="2154"/>
      <c r="O91" s="2155" t="s">
        <v>89</v>
      </c>
      <c r="P91" s="2155" t="s">
        <v>54</v>
      </c>
      <c r="Q91" s="2156" t="s">
        <v>91</v>
      </c>
      <c r="R91" s="2155" t="s">
        <v>92</v>
      </c>
      <c r="S91" s="2155"/>
      <c r="T91" s="357"/>
      <c r="U91" s="2155" t="s">
        <v>166</v>
      </c>
      <c r="V91" s="2157" t="s">
        <v>92</v>
      </c>
      <c r="X91" s="2154" t="s">
        <v>90</v>
      </c>
      <c r="Y91" s="2155" t="s">
        <v>91</v>
      </c>
      <c r="Z91" s="2158" t="s">
        <v>507</v>
      </c>
      <c r="AA91" s="2158"/>
      <c r="AB91" s="2161"/>
      <c r="AC91" s="2162" t="s">
        <v>54</v>
      </c>
      <c r="AD91" s="2163" t="s">
        <v>507</v>
      </c>
    </row>
    <row r="92" spans="1:30" x14ac:dyDescent="0.2">
      <c r="A92" s="1833"/>
      <c r="B92" s="356" t="s">
        <v>283</v>
      </c>
      <c r="C92" s="1715"/>
      <c r="D92" s="1640"/>
      <c r="E92" s="1715"/>
      <c r="F92" s="1834"/>
      <c r="G92" s="318"/>
      <c r="H92" s="312">
        <v>6</v>
      </c>
      <c r="I92" s="1835"/>
      <c r="N92" s="1833"/>
      <c r="O92" s="356" t="s">
        <v>283</v>
      </c>
      <c r="P92" s="1715"/>
      <c r="Q92" s="1640"/>
      <c r="R92" s="1715"/>
      <c r="S92" s="1834"/>
      <c r="T92" s="318"/>
      <c r="U92" s="312">
        <v>6</v>
      </c>
      <c r="V92" s="1835"/>
      <c r="X92" s="1704">
        <f>P92-C92</f>
        <v>0</v>
      </c>
      <c r="Y92" s="1705"/>
      <c r="Z92" s="1705">
        <f>R92-E92</f>
        <v>0</v>
      </c>
      <c r="AA92" s="1705">
        <f>F92-S92</f>
        <v>0</v>
      </c>
      <c r="AB92" s="1706">
        <f>T92-F92</f>
        <v>0</v>
      </c>
      <c r="AC92" s="1705">
        <f t="shared" ref="AC92:AD95" si="33">U92-H92</f>
        <v>0</v>
      </c>
      <c r="AD92" s="1705">
        <f t="shared" si="33"/>
        <v>0</v>
      </c>
    </row>
    <row r="93" spans="1:30" x14ac:dyDescent="0.2">
      <c r="A93" s="1833"/>
      <c r="B93" s="356" t="s">
        <v>262</v>
      </c>
      <c r="C93" s="1715"/>
      <c r="D93" s="1640"/>
      <c r="E93" s="1715"/>
      <c r="F93" s="1834"/>
      <c r="G93" s="318"/>
      <c r="H93" s="312">
        <v>10</v>
      </c>
      <c r="I93" s="1835"/>
      <c r="N93" s="1833"/>
      <c r="O93" s="356" t="s">
        <v>262</v>
      </c>
      <c r="P93" s="1715"/>
      <c r="Q93" s="1640"/>
      <c r="R93" s="1715"/>
      <c r="S93" s="1834"/>
      <c r="T93" s="318"/>
      <c r="U93" s="312">
        <v>10</v>
      </c>
      <c r="V93" s="1835"/>
      <c r="X93" s="1704">
        <f>P93-C93</f>
        <v>0</v>
      </c>
      <c r="Y93" s="1705">
        <f>Q93-D93</f>
        <v>0</v>
      </c>
      <c r="Z93" s="1705">
        <f>R93-E93</f>
        <v>0</v>
      </c>
      <c r="AA93" s="1705">
        <f>F93-S93</f>
        <v>0</v>
      </c>
      <c r="AB93" s="1706">
        <f>T93-F93</f>
        <v>0</v>
      </c>
      <c r="AC93" s="1705">
        <f t="shared" si="33"/>
        <v>0</v>
      </c>
      <c r="AD93" s="1705">
        <f t="shared" si="33"/>
        <v>0</v>
      </c>
    </row>
    <row r="94" spans="1:30" ht="38.25" x14ac:dyDescent="0.2">
      <c r="A94" s="1836"/>
      <c r="B94" s="1837" t="s">
        <v>284</v>
      </c>
      <c r="C94" s="1715"/>
      <c r="D94" s="1747">
        <f>I94/H94</f>
        <v>4740.12</v>
      </c>
      <c r="E94" s="1715"/>
      <c r="F94" s="1845"/>
      <c r="G94" s="318"/>
      <c r="H94" s="1845">
        <v>6</v>
      </c>
      <c r="I94" s="1845">
        <v>28440.720000000001</v>
      </c>
      <c r="N94" s="1836"/>
      <c r="O94" s="1837" t="s">
        <v>284</v>
      </c>
      <c r="P94" s="1715"/>
      <c r="Q94" s="1845">
        <v>4740.12</v>
      </c>
      <c r="R94" s="1715"/>
      <c r="S94" s="1845"/>
      <c r="T94" s="318"/>
      <c r="U94" s="1845">
        <f>U92</f>
        <v>6</v>
      </c>
      <c r="V94" s="2684">
        <f>U94*Q94</f>
        <v>28440.720000000001</v>
      </c>
      <c r="X94" s="1704">
        <f>P94-C94</f>
        <v>0</v>
      </c>
      <c r="Y94" s="1705">
        <f>Q94-D94</f>
        <v>0</v>
      </c>
      <c r="Z94" s="1705">
        <f>R94-E94</f>
        <v>0</v>
      </c>
      <c r="AA94" s="1705">
        <f>F94-S94</f>
        <v>0</v>
      </c>
      <c r="AB94" s="1706">
        <f>T94-F94</f>
        <v>0</v>
      </c>
      <c r="AC94" s="1705">
        <f t="shared" si="33"/>
        <v>0</v>
      </c>
      <c r="AD94" s="1705">
        <f t="shared" si="33"/>
        <v>0</v>
      </c>
    </row>
    <row r="95" spans="1:30" ht="25.5" x14ac:dyDescent="0.2">
      <c r="A95" s="1838"/>
      <c r="B95" s="315" t="s">
        <v>266</v>
      </c>
      <c r="C95" s="1715"/>
      <c r="D95" s="1747">
        <f>I95/H95</f>
        <v>150</v>
      </c>
      <c r="E95" s="1715"/>
      <c r="F95" s="1845"/>
      <c r="G95" s="318"/>
      <c r="H95" s="1845">
        <v>30</v>
      </c>
      <c r="I95" s="1845">
        <v>4500</v>
      </c>
      <c r="N95" s="1838"/>
      <c r="O95" s="315" t="s">
        <v>266</v>
      </c>
      <c r="P95" s="1715"/>
      <c r="Q95" s="1845">
        <v>150</v>
      </c>
      <c r="R95" s="1715"/>
      <c r="S95" s="1845"/>
      <c r="T95" s="318"/>
      <c r="U95" s="1845">
        <f>U92*5</f>
        <v>30</v>
      </c>
      <c r="V95" s="2684">
        <f>U95*Q95</f>
        <v>4500</v>
      </c>
      <c r="X95" s="1704">
        <f>P95-C95</f>
        <v>0</v>
      </c>
      <c r="Y95" s="1705">
        <f>Q95-D95</f>
        <v>0</v>
      </c>
      <c r="Z95" s="1705">
        <f>R95-E95</f>
        <v>0</v>
      </c>
      <c r="AA95" s="1705">
        <f>F95-S95</f>
        <v>0</v>
      </c>
      <c r="AB95" s="1706">
        <f>T95-F95</f>
        <v>0</v>
      </c>
      <c r="AC95" s="1705">
        <f t="shared" si="33"/>
        <v>0</v>
      </c>
      <c r="AD95" s="1705">
        <f t="shared" si="33"/>
        <v>0</v>
      </c>
    </row>
    <row r="96" spans="1:30" ht="13.5" customHeight="1" thickBot="1" x14ac:dyDescent="0.25">
      <c r="A96" s="1785"/>
      <c r="B96" s="1786" t="s">
        <v>13</v>
      </c>
      <c r="C96" s="1787"/>
      <c r="D96" s="1788"/>
      <c r="E96" s="1789">
        <f>SUM(E92:E95)</f>
        <v>0</v>
      </c>
      <c r="F96" s="1789"/>
      <c r="G96" s="1790"/>
      <c r="H96" s="1790"/>
      <c r="I96" s="1839">
        <f>SUM(I92:I95)</f>
        <v>32940.720000000001</v>
      </c>
      <c r="J96" s="327">
        <v>32940.720000000001</v>
      </c>
      <c r="N96" s="1785"/>
      <c r="O96" s="1786" t="s">
        <v>13</v>
      </c>
      <c r="P96" s="1787"/>
      <c r="Q96" s="1788"/>
      <c r="R96" s="1789">
        <f>SUM(R92:R95)</f>
        <v>0</v>
      </c>
      <c r="S96" s="1789"/>
      <c r="T96" s="1790"/>
      <c r="U96" s="1790"/>
      <c r="V96" s="1839">
        <f>SUM(V92:V95)</f>
        <v>32940.720000000001</v>
      </c>
      <c r="X96" s="1787"/>
      <c r="Y96" s="1789">
        <f>SUM(Y92:Y95)</f>
        <v>0</v>
      </c>
      <c r="Z96" s="1789"/>
      <c r="AA96" s="1789"/>
      <c r="AB96" s="1790"/>
      <c r="AC96" s="1790"/>
      <c r="AD96" s="1839">
        <f>SUM(AD92:AD95)</f>
        <v>0</v>
      </c>
    </row>
    <row r="97" spans="1:30" s="1718" customFormat="1" x14ac:dyDescent="0.2">
      <c r="D97" s="2184"/>
      <c r="J97" s="2260"/>
      <c r="K97" s="2260"/>
      <c r="Q97" s="2184"/>
      <c r="V97" s="2275">
        <f>-V96+'[3]פרוט (4)'!$Z$104</f>
        <v>0</v>
      </c>
      <c r="X97" s="328"/>
      <c r="Y97" s="328"/>
      <c r="Z97" s="328"/>
      <c r="AA97" s="328"/>
      <c r="AB97" s="328"/>
      <c r="AC97" s="328"/>
      <c r="AD97" s="328"/>
    </row>
    <row r="98" spans="1:30" ht="13.5" customHeight="1" thickBot="1" x14ac:dyDescent="0.25">
      <c r="A98" s="321"/>
      <c r="C98" s="321"/>
      <c r="E98" s="2258"/>
      <c r="F98" s="2258"/>
    </row>
    <row r="99" spans="1:30" x14ac:dyDescent="0.2">
      <c r="A99" s="2150">
        <v>3.1</v>
      </c>
      <c r="B99" s="2194" t="s">
        <v>27</v>
      </c>
      <c r="C99" s="3186" t="s">
        <v>104</v>
      </c>
      <c r="D99" s="3186"/>
      <c r="E99" s="3186"/>
      <c r="F99" s="2151"/>
      <c r="G99" s="2152"/>
      <c r="H99" s="3186" t="s">
        <v>88</v>
      </c>
      <c r="I99" s="3187"/>
      <c r="N99" s="2150">
        <v>3.1</v>
      </c>
      <c r="O99" s="2194" t="s">
        <v>27</v>
      </c>
      <c r="P99" s="3185" t="s">
        <v>812</v>
      </c>
      <c r="Q99" s="3186"/>
      <c r="R99" s="3186"/>
      <c r="S99" s="2151"/>
      <c r="T99" s="2152"/>
      <c r="U99" s="3186" t="s">
        <v>88</v>
      </c>
      <c r="V99" s="3187"/>
      <c r="X99" s="3188" t="s">
        <v>506</v>
      </c>
      <c r="Y99" s="3186"/>
      <c r="Z99" s="3186"/>
      <c r="AA99" s="2151"/>
      <c r="AB99" s="2153"/>
      <c r="AC99" s="3189" t="s">
        <v>88</v>
      </c>
      <c r="AD99" s="3190"/>
    </row>
    <row r="100" spans="1:30" ht="25.5" x14ac:dyDescent="0.2">
      <c r="A100" s="2154"/>
      <c r="B100" s="2155" t="s">
        <v>89</v>
      </c>
      <c r="C100" s="2155" t="s">
        <v>54</v>
      </c>
      <c r="D100" s="2156" t="s">
        <v>91</v>
      </c>
      <c r="E100" s="2155" t="s">
        <v>92</v>
      </c>
      <c r="F100" s="2155"/>
      <c r="G100" s="357"/>
      <c r="H100" s="2155" t="s">
        <v>54</v>
      </c>
      <c r="I100" s="2157" t="s">
        <v>92</v>
      </c>
      <c r="N100" s="2154"/>
      <c r="O100" s="2155" t="s">
        <v>89</v>
      </c>
      <c r="P100" s="2155" t="s">
        <v>54</v>
      </c>
      <c r="Q100" s="2156" t="s">
        <v>91</v>
      </c>
      <c r="R100" s="2155" t="s">
        <v>92</v>
      </c>
      <c r="S100" s="2155"/>
      <c r="T100" s="357"/>
      <c r="U100" s="2155" t="s">
        <v>54</v>
      </c>
      <c r="V100" s="2157" t="s">
        <v>92</v>
      </c>
      <c r="X100" s="2154" t="s">
        <v>90</v>
      </c>
      <c r="Y100" s="2155" t="s">
        <v>91</v>
      </c>
      <c r="Z100" s="2158" t="s">
        <v>507</v>
      </c>
      <c r="AA100" s="2158"/>
      <c r="AB100" s="2161"/>
      <c r="AC100" s="2162" t="s">
        <v>54</v>
      </c>
      <c r="AD100" s="2163" t="s">
        <v>507</v>
      </c>
    </row>
    <row r="101" spans="1:30" x14ac:dyDescent="0.2">
      <c r="A101" s="2261"/>
      <c r="B101" s="2262" t="s">
        <v>285</v>
      </c>
      <c r="C101" s="344">
        <v>49</v>
      </c>
      <c r="D101" s="1643"/>
      <c r="E101" s="2263"/>
      <c r="F101" s="2263"/>
      <c r="G101" s="318"/>
      <c r="H101" s="344">
        <v>8</v>
      </c>
      <c r="I101" s="326"/>
      <c r="N101" s="2261"/>
      <c r="O101" s="2262" t="s">
        <v>285</v>
      </c>
      <c r="P101" s="1840">
        <v>86</v>
      </c>
      <c r="Q101" s="1710">
        <f>R110/P101</f>
        <v>44269.291999999994</v>
      </c>
      <c r="R101" s="1711"/>
      <c r="S101" s="2263"/>
      <c r="T101" s="318"/>
      <c r="U101" s="1840">
        <v>10</v>
      </c>
      <c r="V101" s="326"/>
      <c r="X101" s="1704">
        <f t="shared" ref="X101:X109" si="34">P101-C101</f>
        <v>37</v>
      </c>
      <c r="Y101" s="1705"/>
      <c r="Z101" s="1705">
        <f t="shared" ref="Z101:Z109" si="35">R101-E101</f>
        <v>0</v>
      </c>
      <c r="AA101" s="1705">
        <f t="shared" ref="AA101:AA109" si="36">F101-S101</f>
        <v>0</v>
      </c>
      <c r="AB101" s="1706">
        <f t="shared" ref="AB101:AB109" si="37">T101-F101</f>
        <v>0</v>
      </c>
      <c r="AC101" s="1705">
        <f t="shared" ref="AC101:AC109" si="38">U101-H101</f>
        <v>2</v>
      </c>
      <c r="AD101" s="1705">
        <f t="shared" ref="AD101:AD109" si="39">V101-I101</f>
        <v>0</v>
      </c>
    </row>
    <row r="102" spans="1:30" x14ac:dyDescent="0.2">
      <c r="A102" s="2261"/>
      <c r="B102" s="2262" t="s">
        <v>286</v>
      </c>
      <c r="C102" s="344">
        <v>70</v>
      </c>
      <c r="D102" s="1643"/>
      <c r="E102" s="2263"/>
      <c r="F102" s="2263"/>
      <c r="G102" s="318"/>
      <c r="H102" s="308">
        <v>70</v>
      </c>
      <c r="I102" s="326"/>
      <c r="N102" s="2261"/>
      <c r="O102" s="2262" t="s">
        <v>286</v>
      </c>
      <c r="P102" s="1840">
        <f>C102</f>
        <v>70</v>
      </c>
      <c r="Q102" s="1710"/>
      <c r="R102" s="1711"/>
      <c r="S102" s="2263"/>
      <c r="T102" s="318"/>
      <c r="U102" s="1840">
        <f>C102</f>
        <v>70</v>
      </c>
      <c r="V102" s="326"/>
      <c r="X102" s="1704">
        <f t="shared" si="34"/>
        <v>0</v>
      </c>
      <c r="Y102" s="1705">
        <f t="shared" ref="Y102:Y109" si="40">Q102-D102</f>
        <v>0</v>
      </c>
      <c r="Z102" s="1705">
        <f t="shared" si="35"/>
        <v>0</v>
      </c>
      <c r="AA102" s="1705">
        <f t="shared" si="36"/>
        <v>0</v>
      </c>
      <c r="AB102" s="1706">
        <f t="shared" si="37"/>
        <v>0</v>
      </c>
      <c r="AC102" s="1705">
        <f t="shared" si="38"/>
        <v>0</v>
      </c>
      <c r="AD102" s="1705">
        <f t="shared" si="39"/>
        <v>0</v>
      </c>
    </row>
    <row r="103" spans="1:30" ht="25.5" x14ac:dyDescent="0.2">
      <c r="A103" s="307"/>
      <c r="B103" s="2262" t="s">
        <v>287</v>
      </c>
      <c r="C103" s="308">
        <f>2.5*C102*C101</f>
        <v>8575</v>
      </c>
      <c r="D103" s="1805">
        <f t="shared" ref="D103:D109" si="41">E103/C103</f>
        <v>195.22448979591837</v>
      </c>
      <c r="E103" s="309">
        <v>1674050</v>
      </c>
      <c r="F103" s="309"/>
      <c r="G103" s="318"/>
      <c r="H103" s="308">
        <f>2.5*H102*H101</f>
        <v>1400</v>
      </c>
      <c r="I103" s="2247">
        <v>274400</v>
      </c>
      <c r="N103" s="307"/>
      <c r="O103" s="2262" t="s">
        <v>287</v>
      </c>
      <c r="P103" s="2264">
        <f>2.5*P101*P102</f>
        <v>15050</v>
      </c>
      <c r="Q103" s="2265">
        <v>140</v>
      </c>
      <c r="R103" s="1717">
        <f t="shared" ref="R103:R109" si="42">P103*Q103</f>
        <v>2107000</v>
      </c>
      <c r="S103" s="309"/>
      <c r="T103" s="318"/>
      <c r="U103" s="2257">
        <f>2.5*U102*U101</f>
        <v>1750</v>
      </c>
      <c r="V103" s="2247">
        <f t="shared" ref="V103:V109" si="43">U103*Q103</f>
        <v>245000</v>
      </c>
      <c r="X103" s="1704">
        <f t="shared" si="34"/>
        <v>6475</v>
      </c>
      <c r="Y103" s="1705">
        <f t="shared" si="40"/>
        <v>-55.224489795918373</v>
      </c>
      <c r="Z103" s="1705">
        <f t="shared" si="35"/>
        <v>432950</v>
      </c>
      <c r="AA103" s="1705">
        <f t="shared" si="36"/>
        <v>0</v>
      </c>
      <c r="AB103" s="1706">
        <f t="shared" si="37"/>
        <v>0</v>
      </c>
      <c r="AC103" s="1705">
        <f t="shared" si="38"/>
        <v>350</v>
      </c>
      <c r="AD103" s="1705">
        <f t="shared" si="39"/>
        <v>-29400</v>
      </c>
    </row>
    <row r="104" spans="1:30" ht="56.25" customHeight="1" x14ac:dyDescent="0.2">
      <c r="A104" s="307"/>
      <c r="B104" s="2266" t="s">
        <v>856</v>
      </c>
      <c r="C104" s="308">
        <f>C101</f>
        <v>49</v>
      </c>
      <c r="D104" s="1805">
        <v>7163.2684458398744</v>
      </c>
      <c r="E104" s="309">
        <f>C104*D104</f>
        <v>351000.15384615387</v>
      </c>
      <c r="F104" s="309"/>
      <c r="G104" s="318"/>
      <c r="H104" s="308">
        <f>H101</f>
        <v>8</v>
      </c>
      <c r="I104" s="2247">
        <f>46886.15+9044</f>
        <v>55930.15</v>
      </c>
      <c r="N104" s="307"/>
      <c r="O104" s="2266" t="s">
        <v>856</v>
      </c>
      <c r="P104" s="2264">
        <f>P101</f>
        <v>86</v>
      </c>
      <c r="Q104" s="2265">
        <f>600*$J$1+278*2+2000</f>
        <v>4836</v>
      </c>
      <c r="R104" s="1717">
        <f t="shared" si="42"/>
        <v>415896</v>
      </c>
      <c r="S104" s="309"/>
      <c r="T104" s="318"/>
      <c r="U104" s="2257">
        <f>U101</f>
        <v>10</v>
      </c>
      <c r="V104" s="2247">
        <f t="shared" si="43"/>
        <v>48360</v>
      </c>
      <c r="W104" s="1847"/>
      <c r="X104" s="1704">
        <f t="shared" si="34"/>
        <v>37</v>
      </c>
      <c r="Y104" s="1705">
        <f t="shared" si="40"/>
        <v>-2327.2684458398744</v>
      </c>
      <c r="Z104" s="1705">
        <f t="shared" si="35"/>
        <v>64895.846153846127</v>
      </c>
      <c r="AA104" s="1705">
        <f t="shared" si="36"/>
        <v>0</v>
      </c>
      <c r="AB104" s="1706">
        <f t="shared" si="37"/>
        <v>0</v>
      </c>
      <c r="AC104" s="1705">
        <f t="shared" si="38"/>
        <v>2</v>
      </c>
      <c r="AD104" s="1705">
        <f t="shared" si="39"/>
        <v>-7570.1500000000015</v>
      </c>
    </row>
    <row r="105" spans="1:30" ht="25.5" x14ac:dyDescent="0.2">
      <c r="A105" s="307"/>
      <c r="B105" s="2266" t="s">
        <v>288</v>
      </c>
      <c r="C105" s="344">
        <v>1225</v>
      </c>
      <c r="D105" s="1805">
        <f t="shared" si="41"/>
        <v>163.63265306122449</v>
      </c>
      <c r="E105" s="309">
        <v>200450</v>
      </c>
      <c r="F105" s="309"/>
      <c r="G105" s="318"/>
      <c r="H105" s="309">
        <v>200</v>
      </c>
      <c r="I105" s="2247">
        <v>34200</v>
      </c>
      <c r="N105" s="307"/>
      <c r="O105" s="2266" t="s">
        <v>288</v>
      </c>
      <c r="P105" s="2264">
        <f>P101*10</f>
        <v>860</v>
      </c>
      <c r="Q105" s="2265">
        <f>15*$J$1</f>
        <v>57</v>
      </c>
      <c r="R105" s="1717">
        <f t="shared" si="42"/>
        <v>49020</v>
      </c>
      <c r="S105" s="309"/>
      <c r="T105" s="318"/>
      <c r="U105" s="2257">
        <f>31*U101</f>
        <v>310</v>
      </c>
      <c r="V105" s="2247">
        <f t="shared" si="43"/>
        <v>17670</v>
      </c>
      <c r="W105" s="1847"/>
      <c r="X105" s="1704">
        <f t="shared" si="34"/>
        <v>-365</v>
      </c>
      <c r="Y105" s="1705">
        <f t="shared" si="40"/>
        <v>-106.63265306122449</v>
      </c>
      <c r="Z105" s="1705">
        <f t="shared" si="35"/>
        <v>-151430</v>
      </c>
      <c r="AA105" s="1705">
        <f t="shared" si="36"/>
        <v>0</v>
      </c>
      <c r="AB105" s="1706">
        <f t="shared" si="37"/>
        <v>0</v>
      </c>
      <c r="AC105" s="1705">
        <f t="shared" si="38"/>
        <v>110</v>
      </c>
      <c r="AD105" s="1705">
        <f t="shared" si="39"/>
        <v>-16530</v>
      </c>
    </row>
    <row r="106" spans="1:30" s="2145" customFormat="1" ht="38.25" x14ac:dyDescent="0.2">
      <c r="A106" s="307"/>
      <c r="B106" s="342" t="s">
        <v>289</v>
      </c>
      <c r="C106" s="2267">
        <f>C102*C101</f>
        <v>3430</v>
      </c>
      <c r="D106" s="1805">
        <f t="shared" si="41"/>
        <v>-14.338804053089767</v>
      </c>
      <c r="E106" s="1784">
        <v>-49182.097902097899</v>
      </c>
      <c r="F106" s="1784"/>
      <c r="G106" s="318"/>
      <c r="H106" s="2267">
        <f>H101*H102</f>
        <v>560</v>
      </c>
      <c r="I106" s="2247">
        <v>-8073.0069930069922</v>
      </c>
      <c r="J106" s="327"/>
      <c r="K106" s="1846"/>
      <c r="N106" s="307"/>
      <c r="O106" s="342" t="s">
        <v>289</v>
      </c>
      <c r="P106" s="2264">
        <f>P101*P102</f>
        <v>6020</v>
      </c>
      <c r="Q106" s="2265">
        <v>-14</v>
      </c>
      <c r="R106" s="2268">
        <f t="shared" si="42"/>
        <v>-84280</v>
      </c>
      <c r="S106" s="1784"/>
      <c r="T106" s="318"/>
      <c r="U106" s="2257">
        <f>U101*U102</f>
        <v>700</v>
      </c>
      <c r="V106" s="2247">
        <f t="shared" si="43"/>
        <v>-9800</v>
      </c>
      <c r="X106" s="1704">
        <f t="shared" si="34"/>
        <v>2590</v>
      </c>
      <c r="Y106" s="1705">
        <f t="shared" si="40"/>
        <v>0.33880405308976691</v>
      </c>
      <c r="Z106" s="1705">
        <f t="shared" si="35"/>
        <v>-35097.902097902101</v>
      </c>
      <c r="AA106" s="1705">
        <f t="shared" si="36"/>
        <v>0</v>
      </c>
      <c r="AB106" s="1706">
        <f t="shared" si="37"/>
        <v>0</v>
      </c>
      <c r="AC106" s="1705">
        <f t="shared" si="38"/>
        <v>140</v>
      </c>
      <c r="AD106" s="1705">
        <f t="shared" si="39"/>
        <v>-1726.9930069930078</v>
      </c>
    </row>
    <row r="107" spans="1:30" ht="25.5" x14ac:dyDescent="0.2">
      <c r="A107" s="307"/>
      <c r="B107" s="2262" t="s">
        <v>290</v>
      </c>
      <c r="C107" s="308">
        <f>7*C101</f>
        <v>343</v>
      </c>
      <c r="D107" s="1805">
        <f t="shared" si="41"/>
        <v>360.22448979591837</v>
      </c>
      <c r="E107" s="309">
        <v>123557</v>
      </c>
      <c r="F107" s="309"/>
      <c r="G107" s="318"/>
      <c r="H107" s="308">
        <f>7*H101</f>
        <v>56</v>
      </c>
      <c r="I107" s="2247">
        <v>20482</v>
      </c>
      <c r="N107" s="307"/>
      <c r="O107" s="2262" t="s">
        <v>290</v>
      </c>
      <c r="P107" s="2264">
        <f>7*P101</f>
        <v>602</v>
      </c>
      <c r="Q107" s="2265">
        <v>360</v>
      </c>
      <c r="R107" s="1717">
        <f t="shared" si="42"/>
        <v>216720</v>
      </c>
      <c r="S107" s="309"/>
      <c r="T107" s="318"/>
      <c r="U107" s="2257">
        <f>7*U101</f>
        <v>70</v>
      </c>
      <c r="V107" s="2247">
        <f t="shared" si="43"/>
        <v>25200</v>
      </c>
      <c r="X107" s="1704">
        <f t="shared" si="34"/>
        <v>259</v>
      </c>
      <c r="Y107" s="1705">
        <f t="shared" si="40"/>
        <v>-0.22448979591837315</v>
      </c>
      <c r="Z107" s="1705">
        <f t="shared" si="35"/>
        <v>93163</v>
      </c>
      <c r="AA107" s="1705">
        <f t="shared" si="36"/>
        <v>0</v>
      </c>
      <c r="AB107" s="1706">
        <f t="shared" si="37"/>
        <v>0</v>
      </c>
      <c r="AC107" s="1705">
        <f t="shared" si="38"/>
        <v>14</v>
      </c>
      <c r="AD107" s="1705">
        <f t="shared" si="39"/>
        <v>4718</v>
      </c>
    </row>
    <row r="108" spans="1:30" ht="51" x14ac:dyDescent="0.2">
      <c r="A108" s="307"/>
      <c r="B108" s="2262" t="s">
        <v>291</v>
      </c>
      <c r="C108" s="2269">
        <f>2*C101</f>
        <v>98</v>
      </c>
      <c r="D108" s="1805">
        <f t="shared" si="41"/>
        <v>5178.0816326530612</v>
      </c>
      <c r="E108" s="309">
        <v>507452</v>
      </c>
      <c r="F108" s="309"/>
      <c r="G108" s="318"/>
      <c r="H108" s="2269">
        <f>2*H101</f>
        <v>16</v>
      </c>
      <c r="I108" s="2247">
        <v>83144</v>
      </c>
      <c r="M108" s="2175"/>
      <c r="N108" s="307"/>
      <c r="O108" s="2262" t="s">
        <v>291</v>
      </c>
      <c r="P108" s="2264">
        <f>2*P101</f>
        <v>172</v>
      </c>
      <c r="Q108" s="2265">
        <f>(700+4*60+2*100+22.67+200)*$J$1</f>
        <v>5178.1459999999997</v>
      </c>
      <c r="R108" s="1717">
        <f t="shared" si="42"/>
        <v>890641.11199999996</v>
      </c>
      <c r="S108" s="309"/>
      <c r="T108" s="318"/>
      <c r="U108" s="2257">
        <f>2*U101</f>
        <v>20</v>
      </c>
      <c r="V108" s="2247">
        <f t="shared" si="43"/>
        <v>103562.92</v>
      </c>
      <c r="W108" s="2175"/>
      <c r="X108" s="1704">
        <f t="shared" si="34"/>
        <v>74</v>
      </c>
      <c r="Y108" s="1705">
        <f t="shared" si="40"/>
        <v>6.4367346938524861E-2</v>
      </c>
      <c r="Z108" s="1705">
        <f t="shared" si="35"/>
        <v>383189.11199999996</v>
      </c>
      <c r="AA108" s="1705">
        <f t="shared" si="36"/>
        <v>0</v>
      </c>
      <c r="AB108" s="1706">
        <f t="shared" si="37"/>
        <v>0</v>
      </c>
      <c r="AC108" s="1705">
        <f t="shared" si="38"/>
        <v>4</v>
      </c>
      <c r="AD108" s="1705">
        <f t="shared" si="39"/>
        <v>20418.919999999998</v>
      </c>
    </row>
    <row r="109" spans="1:30" ht="25.5" x14ac:dyDescent="0.2">
      <c r="A109" s="307"/>
      <c r="B109" s="2262" t="s">
        <v>292</v>
      </c>
      <c r="C109" s="308">
        <f>1*C101</f>
        <v>49</v>
      </c>
      <c r="D109" s="1805">
        <f t="shared" si="41"/>
        <v>2467.3469387755104</v>
      </c>
      <c r="E109" s="309">
        <v>120900</v>
      </c>
      <c r="F109" s="309"/>
      <c r="G109" s="318"/>
      <c r="H109" s="308">
        <f>1*H101</f>
        <v>8</v>
      </c>
      <c r="I109" s="2247">
        <v>19700</v>
      </c>
      <c r="K109" s="327">
        <f>+F109</f>
        <v>0</v>
      </c>
      <c r="N109" s="307"/>
      <c r="O109" s="2262" t="s">
        <v>292</v>
      </c>
      <c r="P109" s="2264">
        <f>P101</f>
        <v>86</v>
      </c>
      <c r="Q109" s="2251">
        <v>2467</v>
      </c>
      <c r="R109" s="1717">
        <f t="shared" si="42"/>
        <v>212162</v>
      </c>
      <c r="S109" s="309"/>
      <c r="T109" s="318"/>
      <c r="U109" s="2257">
        <f>U101</f>
        <v>10</v>
      </c>
      <c r="V109" s="2247">
        <f t="shared" si="43"/>
        <v>24670</v>
      </c>
      <c r="X109" s="1704">
        <f t="shared" si="34"/>
        <v>37</v>
      </c>
      <c r="Y109" s="1705">
        <f t="shared" si="40"/>
        <v>-0.34693877551035257</v>
      </c>
      <c r="Z109" s="1705">
        <f t="shared" si="35"/>
        <v>91262</v>
      </c>
      <c r="AA109" s="1705">
        <f t="shared" si="36"/>
        <v>0</v>
      </c>
      <c r="AB109" s="1706">
        <f t="shared" si="37"/>
        <v>0</v>
      </c>
      <c r="AC109" s="1705">
        <f t="shared" si="38"/>
        <v>2</v>
      </c>
      <c r="AD109" s="1705">
        <f t="shared" si="39"/>
        <v>4970</v>
      </c>
    </row>
    <row r="110" spans="1:30" ht="13.5" customHeight="1" x14ac:dyDescent="0.2">
      <c r="A110" s="2688"/>
      <c r="B110" s="2488" t="s">
        <v>13</v>
      </c>
      <c r="C110" s="2685"/>
      <c r="D110" s="2686"/>
      <c r="E110" s="2687">
        <f>SUM(E103:E109)</f>
        <v>2928227.0559440563</v>
      </c>
      <c r="F110" s="2687"/>
      <c r="G110" s="318"/>
      <c r="H110" s="318"/>
      <c r="I110" s="2689">
        <f>SUM(I103:I109)</f>
        <v>479783.14300699305</v>
      </c>
      <c r="J110" s="327">
        <v>2928227.0559440558</v>
      </c>
      <c r="K110" s="327">
        <v>479783.14685314684</v>
      </c>
      <c r="N110" s="2688"/>
      <c r="O110" s="2488" t="s">
        <v>13</v>
      </c>
      <c r="P110" s="2685"/>
      <c r="Q110" s="2686"/>
      <c r="R110" s="2687">
        <f>SUM(R103:R109)</f>
        <v>3807159.1119999997</v>
      </c>
      <c r="S110" s="2687">
        <f>SUM(S103:S109)</f>
        <v>0</v>
      </c>
      <c r="T110" s="318"/>
      <c r="U110" s="318"/>
      <c r="V110" s="2689">
        <f>SUM(V103:V109)</f>
        <v>454662.92</v>
      </c>
      <c r="X110" s="1848"/>
      <c r="Y110" s="1848"/>
      <c r="Z110" s="1849">
        <f>SUM(Z103:Z109)</f>
        <v>878932.05605594395</v>
      </c>
      <c r="AA110" s="1849">
        <f>SUM(AA103:AA109)</f>
        <v>0</v>
      </c>
      <c r="AB110" s="1849">
        <f>SUM(AB103:AB109)</f>
        <v>0</v>
      </c>
      <c r="AC110" s="1849">
        <f>SUM(AC103:AC109)</f>
        <v>622</v>
      </c>
      <c r="AD110" s="1849">
        <f>SUM(AD103:AD109)</f>
        <v>-25120.223006993008</v>
      </c>
    </row>
    <row r="111" spans="1:30" s="1718" customFormat="1" ht="13.5" customHeight="1" thickBot="1" x14ac:dyDescent="0.25">
      <c r="A111" s="2420"/>
      <c r="B111" s="2421" t="s">
        <v>293</v>
      </c>
      <c r="C111" s="2421"/>
      <c r="D111" s="2422"/>
      <c r="E111" s="2421"/>
      <c r="F111" s="2421"/>
      <c r="G111" s="2421"/>
      <c r="H111" s="2421"/>
      <c r="I111" s="2423"/>
      <c r="N111" s="2420"/>
      <c r="O111" s="2421" t="s">
        <v>293</v>
      </c>
      <c r="P111" s="2421"/>
      <c r="Q111" s="2422"/>
      <c r="R111" s="2690"/>
      <c r="S111" s="2421"/>
      <c r="T111" s="2421"/>
      <c r="U111" s="2421"/>
      <c r="V111" s="2691">
        <f>-V110+'[3]פרוט (4)'!$Z$120</f>
        <v>8.0000000016298145E-2</v>
      </c>
      <c r="X111" s="2276"/>
      <c r="Y111" s="2276"/>
      <c r="Z111" s="2276"/>
      <c r="AA111" s="2276"/>
      <c r="AB111" s="2276"/>
      <c r="AC111" s="2276"/>
      <c r="AD111" s="2276"/>
    </row>
    <row r="112" spans="1:30" ht="13.5" customHeight="1" x14ac:dyDescent="0.2">
      <c r="A112" s="327"/>
      <c r="B112" s="327"/>
      <c r="C112" s="327"/>
      <c r="E112" s="327">
        <f>-E110+'[2]חמ"ע'!$E$129</f>
        <v>0</v>
      </c>
      <c r="F112" s="327"/>
      <c r="G112" s="327"/>
      <c r="H112" s="327"/>
      <c r="I112" s="327"/>
    </row>
    <row r="113" spans="1:30" s="2276" customFormat="1" hidden="1" x14ac:dyDescent="0.2">
      <c r="A113" s="2277">
        <v>3.2</v>
      </c>
      <c r="B113" s="2138" t="s">
        <v>294</v>
      </c>
      <c r="C113" s="3186" t="s">
        <v>104</v>
      </c>
      <c r="D113" s="3186"/>
      <c r="E113" s="3186"/>
      <c r="F113" s="2278"/>
      <c r="G113" s="2279"/>
      <c r="H113" s="3189" t="s">
        <v>88</v>
      </c>
      <c r="I113" s="3190"/>
      <c r="J113" s="2280"/>
      <c r="K113" s="2280"/>
      <c r="N113" s="2277">
        <v>3.2</v>
      </c>
      <c r="O113" s="2138" t="s">
        <v>294</v>
      </c>
      <c r="P113" s="3185" t="s">
        <v>812</v>
      </c>
      <c r="Q113" s="3186"/>
      <c r="R113" s="3186"/>
      <c r="S113" s="2151"/>
      <c r="T113" s="2279"/>
      <c r="U113" s="3189" t="s">
        <v>88</v>
      </c>
      <c r="V113" s="3190"/>
      <c r="X113" s="3188" t="s">
        <v>506</v>
      </c>
      <c r="Y113" s="3186"/>
      <c r="Z113" s="3186"/>
      <c r="AA113" s="2151"/>
      <c r="AB113" s="2153"/>
      <c r="AC113" s="3189" t="s">
        <v>88</v>
      </c>
      <c r="AD113" s="3190"/>
    </row>
    <row r="114" spans="1:30" s="1801" customFormat="1" ht="25.5" hidden="1" x14ac:dyDescent="0.2">
      <c r="A114" s="2281"/>
      <c r="B114" s="2282" t="s">
        <v>89</v>
      </c>
      <c r="C114" s="2283" t="s">
        <v>54</v>
      </c>
      <c r="D114" s="2284" t="s">
        <v>91</v>
      </c>
      <c r="E114" s="2283" t="s">
        <v>92</v>
      </c>
      <c r="F114" s="2283"/>
      <c r="G114" s="2285"/>
      <c r="H114" s="2286" t="s">
        <v>92</v>
      </c>
      <c r="I114" s="2287"/>
      <c r="J114" s="1800"/>
      <c r="K114" s="1800"/>
      <c r="N114" s="2281"/>
      <c r="O114" s="2282" t="s">
        <v>89</v>
      </c>
      <c r="P114" s="2283" t="s">
        <v>54</v>
      </c>
      <c r="Q114" s="2284" t="s">
        <v>91</v>
      </c>
      <c r="R114" s="2283" t="s">
        <v>92</v>
      </c>
      <c r="S114" s="2283"/>
      <c r="T114" s="2285"/>
      <c r="U114" s="2286" t="s">
        <v>92</v>
      </c>
      <c r="V114" s="2287"/>
      <c r="X114" s="2288" t="s">
        <v>90</v>
      </c>
      <c r="Y114" s="2282" t="s">
        <v>91</v>
      </c>
      <c r="Z114" s="2282" t="s">
        <v>507</v>
      </c>
      <c r="AA114" s="2282"/>
      <c r="AB114" s="2289"/>
      <c r="AC114" s="2290" t="s">
        <v>54</v>
      </c>
      <c r="AD114" s="2291" t="s">
        <v>507</v>
      </c>
    </row>
    <row r="115" spans="1:30" s="1801" customFormat="1" hidden="1" x14ac:dyDescent="0.2">
      <c r="A115" s="2292"/>
      <c r="B115" s="342" t="s">
        <v>29</v>
      </c>
      <c r="C115" s="2293">
        <v>5</v>
      </c>
      <c r="D115" s="1642"/>
      <c r="E115" s="339"/>
      <c r="F115" s="339"/>
      <c r="G115" s="1798"/>
      <c r="H115" s="2293">
        <v>2</v>
      </c>
      <c r="I115" s="1852"/>
      <c r="J115" s="1800"/>
      <c r="K115" s="1800"/>
      <c r="N115" s="2292"/>
      <c r="O115" s="342" t="s">
        <v>29</v>
      </c>
      <c r="P115" s="2293">
        <v>0</v>
      </c>
      <c r="Q115" s="1642"/>
      <c r="R115" s="339"/>
      <c r="S115" s="339"/>
      <c r="T115" s="1798"/>
      <c r="U115" s="2293">
        <v>2</v>
      </c>
      <c r="V115" s="1852"/>
      <c r="X115" s="1802">
        <f t="shared" ref="X115:X132" si="44">P115-C115</f>
        <v>-5</v>
      </c>
      <c r="Y115" s="1803"/>
      <c r="Z115" s="1803">
        <f t="shared" ref="Z115:Z132" si="45">R115-E115</f>
        <v>0</v>
      </c>
      <c r="AA115" s="1803">
        <f t="shared" ref="AA115:AA132" si="46">F115-S115</f>
        <v>0</v>
      </c>
      <c r="AB115" s="1804">
        <f t="shared" ref="AB115:AB132" si="47">T115-F115</f>
        <v>0</v>
      </c>
      <c r="AC115" s="1803">
        <f t="shared" ref="AC115:AC132" si="48">U115-H115</f>
        <v>0</v>
      </c>
      <c r="AD115" s="1803">
        <f t="shared" ref="AD115:AD132" si="49">V115-I115</f>
        <v>0</v>
      </c>
    </row>
    <row r="116" spans="1:30" s="1801" customFormat="1" ht="25.5" hidden="1" x14ac:dyDescent="0.2">
      <c r="A116" s="2292"/>
      <c r="B116" s="342" t="s">
        <v>295</v>
      </c>
      <c r="C116" s="2293">
        <v>95</v>
      </c>
      <c r="D116" s="1642"/>
      <c r="E116" s="339"/>
      <c r="F116" s="339"/>
      <c r="G116" s="1798"/>
      <c r="H116" s="2294">
        <v>95</v>
      </c>
      <c r="I116" s="1852"/>
      <c r="J116" s="1800"/>
      <c r="K116" s="1800"/>
      <c r="N116" s="2292"/>
      <c r="O116" s="342" t="s">
        <v>295</v>
      </c>
      <c r="P116" s="2293">
        <v>95</v>
      </c>
      <c r="Q116" s="1642"/>
      <c r="R116" s="339"/>
      <c r="S116" s="339"/>
      <c r="T116" s="1798"/>
      <c r="U116" s="2294">
        <v>95</v>
      </c>
      <c r="V116" s="1852"/>
      <c r="X116" s="1802">
        <f t="shared" si="44"/>
        <v>0</v>
      </c>
      <c r="Y116" s="1803">
        <f t="shared" ref="Y116:Y132" si="50">Q116-D116</f>
        <v>0</v>
      </c>
      <c r="Z116" s="1803">
        <f t="shared" si="45"/>
        <v>0</v>
      </c>
      <c r="AA116" s="1803">
        <f t="shared" si="46"/>
        <v>0</v>
      </c>
      <c r="AB116" s="1804">
        <f t="shared" si="47"/>
        <v>0</v>
      </c>
      <c r="AC116" s="1803">
        <f t="shared" si="48"/>
        <v>0</v>
      </c>
      <c r="AD116" s="1803">
        <f t="shared" si="49"/>
        <v>0</v>
      </c>
    </row>
    <row r="117" spans="1:30" s="1801" customFormat="1" ht="25.5" hidden="1" x14ac:dyDescent="0.2">
      <c r="A117" s="2295"/>
      <c r="B117" s="342" t="s">
        <v>296</v>
      </c>
      <c r="C117" s="298">
        <f>C116*C115*2</f>
        <v>950</v>
      </c>
      <c r="D117" s="1797">
        <f>E117/C117</f>
        <v>197.05263157894737</v>
      </c>
      <c r="E117" s="2293">
        <v>187200</v>
      </c>
      <c r="F117" s="2293"/>
      <c r="G117" s="1798"/>
      <c r="H117" s="2294">
        <f>H116*2</f>
        <v>190</v>
      </c>
      <c r="I117" s="2296">
        <v>73800</v>
      </c>
      <c r="J117" s="1800"/>
      <c r="K117" s="1800"/>
      <c r="N117" s="2295"/>
      <c r="O117" s="342" t="s">
        <v>296</v>
      </c>
      <c r="P117" s="298">
        <f>P116*P115*2</f>
        <v>0</v>
      </c>
      <c r="Q117" s="1797">
        <f t="shared" ref="Q117:Q125" si="51">V117/U117</f>
        <v>388.42105263157896</v>
      </c>
      <c r="R117" s="339">
        <f t="shared" ref="R117:R125" si="52">Q117*P117</f>
        <v>0</v>
      </c>
      <c r="S117" s="2293"/>
      <c r="T117" s="1798"/>
      <c r="U117" s="2294">
        <f>U116*2</f>
        <v>190</v>
      </c>
      <c r="V117" s="2296">
        <v>73800</v>
      </c>
      <c r="X117" s="1802">
        <f t="shared" si="44"/>
        <v>-950</v>
      </c>
      <c r="Y117" s="1803">
        <f t="shared" si="50"/>
        <v>191.36842105263159</v>
      </c>
      <c r="Z117" s="1803">
        <f t="shared" si="45"/>
        <v>-187200</v>
      </c>
      <c r="AA117" s="1803">
        <f t="shared" si="46"/>
        <v>0</v>
      </c>
      <c r="AB117" s="1804">
        <f t="shared" si="47"/>
        <v>0</v>
      </c>
      <c r="AC117" s="1803">
        <f t="shared" si="48"/>
        <v>0</v>
      </c>
      <c r="AD117" s="1803">
        <f t="shared" si="49"/>
        <v>0</v>
      </c>
    </row>
    <row r="118" spans="1:30" s="1801" customFormat="1" ht="25.5" hidden="1" x14ac:dyDescent="0.2">
      <c r="A118" s="2295"/>
      <c r="B118" s="315" t="s">
        <v>297</v>
      </c>
      <c r="C118" s="298">
        <f>C115</f>
        <v>5</v>
      </c>
      <c r="D118" s="1797">
        <f>E118/C118</f>
        <v>6132.6153846153848</v>
      </c>
      <c r="E118" s="2293">
        <v>30663.076923076922</v>
      </c>
      <c r="F118" s="2293"/>
      <c r="G118" s="1798"/>
      <c r="H118" s="2294">
        <f>H115</f>
        <v>2</v>
      </c>
      <c r="I118" s="2296">
        <v>12627.692307692309</v>
      </c>
      <c r="J118" s="1800"/>
      <c r="K118" s="1800"/>
      <c r="N118" s="2295"/>
      <c r="O118" s="315" t="s">
        <v>297</v>
      </c>
      <c r="P118" s="298">
        <f>P115</f>
        <v>0</v>
      </c>
      <c r="Q118" s="1797">
        <f t="shared" si="51"/>
        <v>6313.8461538461543</v>
      </c>
      <c r="R118" s="339">
        <f t="shared" si="52"/>
        <v>0</v>
      </c>
      <c r="S118" s="2293"/>
      <c r="T118" s="1798"/>
      <c r="U118" s="2297">
        <f>U115</f>
        <v>2</v>
      </c>
      <c r="V118" s="2296">
        <v>12627.692307692309</v>
      </c>
      <c r="W118" s="2298"/>
      <c r="X118" s="1802">
        <f t="shared" si="44"/>
        <v>-5</v>
      </c>
      <c r="Y118" s="1803">
        <f t="shared" si="50"/>
        <v>181.23076923076951</v>
      </c>
      <c r="Z118" s="1803">
        <f t="shared" si="45"/>
        <v>-30663.076923076922</v>
      </c>
      <c r="AA118" s="1803">
        <f t="shared" si="46"/>
        <v>0</v>
      </c>
      <c r="AB118" s="1804">
        <f t="shared" si="47"/>
        <v>0</v>
      </c>
      <c r="AC118" s="1803">
        <f t="shared" si="48"/>
        <v>0</v>
      </c>
      <c r="AD118" s="1803">
        <f t="shared" si="49"/>
        <v>0</v>
      </c>
    </row>
    <row r="119" spans="1:30" s="1801" customFormat="1" ht="25.5" hidden="1" x14ac:dyDescent="0.2">
      <c r="A119" s="2295"/>
      <c r="B119" s="315" t="s">
        <v>298</v>
      </c>
      <c r="C119" s="298">
        <f>C115*30</f>
        <v>150</v>
      </c>
      <c r="D119" s="1797">
        <f>E119/C119</f>
        <v>125.4</v>
      </c>
      <c r="E119" s="2293">
        <v>18810</v>
      </c>
      <c r="F119" s="2293"/>
      <c r="G119" s="1798"/>
      <c r="H119" s="2294">
        <f>H115</f>
        <v>2</v>
      </c>
      <c r="I119" s="2296">
        <v>7030</v>
      </c>
      <c r="J119" s="1800"/>
      <c r="K119" s="1800"/>
      <c r="N119" s="2295"/>
      <c r="O119" s="315" t="s">
        <v>298</v>
      </c>
      <c r="P119" s="298">
        <f>P115*30</f>
        <v>0</v>
      </c>
      <c r="Q119" s="1797">
        <f t="shared" si="51"/>
        <v>3515</v>
      </c>
      <c r="R119" s="339">
        <f t="shared" si="52"/>
        <v>0</v>
      </c>
      <c r="S119" s="2293"/>
      <c r="T119" s="1798"/>
      <c r="U119" s="2297">
        <f>U115</f>
        <v>2</v>
      </c>
      <c r="V119" s="2296">
        <v>7030</v>
      </c>
      <c r="W119" s="2298"/>
      <c r="X119" s="1802">
        <f t="shared" si="44"/>
        <v>-150</v>
      </c>
      <c r="Y119" s="1803">
        <f t="shared" si="50"/>
        <v>3389.6</v>
      </c>
      <c r="Z119" s="1803">
        <f t="shared" si="45"/>
        <v>-18810</v>
      </c>
      <c r="AA119" s="1803">
        <f t="shared" si="46"/>
        <v>0</v>
      </c>
      <c r="AB119" s="1804">
        <f t="shared" si="47"/>
        <v>0</v>
      </c>
      <c r="AC119" s="1803">
        <f t="shared" si="48"/>
        <v>0</v>
      </c>
      <c r="AD119" s="1803">
        <f t="shared" si="49"/>
        <v>0</v>
      </c>
    </row>
    <row r="120" spans="1:30" s="2307" customFormat="1" ht="38.25" hidden="1" x14ac:dyDescent="0.2">
      <c r="A120" s="2299"/>
      <c r="B120" s="2300" t="s">
        <v>289</v>
      </c>
      <c r="C120" s="2301">
        <f>C116*C115</f>
        <v>475</v>
      </c>
      <c r="D120" s="2302">
        <v>-20</v>
      </c>
      <c r="E120" s="2301">
        <f>D120*C120</f>
        <v>-9500</v>
      </c>
      <c r="F120" s="2301"/>
      <c r="G120" s="2303"/>
      <c r="H120" s="2301">
        <f>H115*H116</f>
        <v>190</v>
      </c>
      <c r="I120" s="2304">
        <f>H120*D120</f>
        <v>-3800</v>
      </c>
      <c r="J120" s="2305"/>
      <c r="K120" s="2306"/>
      <c r="N120" s="2299"/>
      <c r="O120" s="2300" t="s">
        <v>289</v>
      </c>
      <c r="P120" s="2301">
        <f>P116*P115</f>
        <v>0</v>
      </c>
      <c r="Q120" s="1797">
        <f t="shared" si="51"/>
        <v>-20</v>
      </c>
      <c r="R120" s="339">
        <f t="shared" si="52"/>
        <v>0</v>
      </c>
      <c r="S120" s="2301"/>
      <c r="T120" s="2303"/>
      <c r="U120" s="2301">
        <f>U115*U116</f>
        <v>190</v>
      </c>
      <c r="V120" s="2296">
        <v>-3800</v>
      </c>
      <c r="X120" s="1802">
        <f t="shared" si="44"/>
        <v>-475</v>
      </c>
      <c r="Y120" s="1803">
        <f t="shared" si="50"/>
        <v>0</v>
      </c>
      <c r="Z120" s="1803">
        <f t="shared" si="45"/>
        <v>9500</v>
      </c>
      <c r="AA120" s="1803">
        <f t="shared" si="46"/>
        <v>0</v>
      </c>
      <c r="AB120" s="1804">
        <f t="shared" si="47"/>
        <v>0</v>
      </c>
      <c r="AC120" s="1803">
        <f t="shared" si="48"/>
        <v>0</v>
      </c>
      <c r="AD120" s="1803">
        <f t="shared" si="49"/>
        <v>0</v>
      </c>
    </row>
    <row r="121" spans="1:30" s="1801" customFormat="1" hidden="1" x14ac:dyDescent="0.2">
      <c r="A121" s="2295"/>
      <c r="B121" s="2308" t="s">
        <v>299</v>
      </c>
      <c r="C121" s="298">
        <f>2*C115</f>
        <v>10</v>
      </c>
      <c r="D121" s="1797">
        <f>E121/C121</f>
        <v>334.4</v>
      </c>
      <c r="E121" s="2293">
        <v>3344</v>
      </c>
      <c r="F121" s="2293"/>
      <c r="G121" s="1798"/>
      <c r="H121" s="2297">
        <f>H115*2</f>
        <v>4</v>
      </c>
      <c r="I121" s="2296">
        <v>1292</v>
      </c>
      <c r="J121" s="1800"/>
      <c r="K121" s="1800"/>
      <c r="N121" s="2295"/>
      <c r="O121" s="2308" t="s">
        <v>299</v>
      </c>
      <c r="P121" s="298">
        <f>2*P115</f>
        <v>0</v>
      </c>
      <c r="Q121" s="1797">
        <f t="shared" si="51"/>
        <v>323</v>
      </c>
      <c r="R121" s="339">
        <f t="shared" si="52"/>
        <v>0</v>
      </c>
      <c r="S121" s="2293"/>
      <c r="T121" s="1798"/>
      <c r="U121" s="2297">
        <f>U115*2</f>
        <v>4</v>
      </c>
      <c r="V121" s="2296">
        <v>1292</v>
      </c>
      <c r="X121" s="1802">
        <f t="shared" si="44"/>
        <v>-10</v>
      </c>
      <c r="Y121" s="1803">
        <f t="shared" si="50"/>
        <v>-11.399999999999977</v>
      </c>
      <c r="Z121" s="1803">
        <f t="shared" si="45"/>
        <v>-3344</v>
      </c>
      <c r="AA121" s="1803">
        <f t="shared" si="46"/>
        <v>0</v>
      </c>
      <c r="AB121" s="1804">
        <f t="shared" si="47"/>
        <v>0</v>
      </c>
      <c r="AC121" s="1803">
        <f t="shared" si="48"/>
        <v>0</v>
      </c>
      <c r="AD121" s="1803">
        <f t="shared" si="49"/>
        <v>0</v>
      </c>
    </row>
    <row r="122" spans="1:30" s="1801" customFormat="1" hidden="1" x14ac:dyDescent="0.2">
      <c r="A122" s="2295"/>
      <c r="B122" s="2308" t="s">
        <v>300</v>
      </c>
      <c r="C122" s="298">
        <f>C115</f>
        <v>5</v>
      </c>
      <c r="D122" s="1797">
        <f>E122/C122</f>
        <v>2300</v>
      </c>
      <c r="E122" s="2293">
        <v>11500</v>
      </c>
      <c r="F122" s="2293"/>
      <c r="G122" s="1798"/>
      <c r="H122" s="2294">
        <f>H115</f>
        <v>2</v>
      </c>
      <c r="I122" s="2296">
        <v>4500</v>
      </c>
      <c r="J122" s="1800"/>
      <c r="K122" s="1800"/>
      <c r="N122" s="2295"/>
      <c r="O122" s="2308" t="s">
        <v>300</v>
      </c>
      <c r="P122" s="298">
        <f>P115</f>
        <v>0</v>
      </c>
      <c r="Q122" s="1797">
        <f t="shared" si="51"/>
        <v>2250</v>
      </c>
      <c r="R122" s="339">
        <f t="shared" si="52"/>
        <v>0</v>
      </c>
      <c r="S122" s="2293"/>
      <c r="T122" s="1798"/>
      <c r="U122" s="2294">
        <f>U115</f>
        <v>2</v>
      </c>
      <c r="V122" s="2296">
        <v>4500</v>
      </c>
      <c r="X122" s="1802">
        <f t="shared" si="44"/>
        <v>-5</v>
      </c>
      <c r="Y122" s="1803">
        <f t="shared" si="50"/>
        <v>-50</v>
      </c>
      <c r="Z122" s="1803">
        <f t="shared" si="45"/>
        <v>-11500</v>
      </c>
      <c r="AA122" s="1803">
        <f t="shared" si="46"/>
        <v>0</v>
      </c>
      <c r="AB122" s="1804">
        <f t="shared" si="47"/>
        <v>0</v>
      </c>
      <c r="AC122" s="1803">
        <f t="shared" si="48"/>
        <v>0</v>
      </c>
      <c r="AD122" s="1803">
        <f t="shared" si="49"/>
        <v>0</v>
      </c>
    </row>
    <row r="123" spans="1:30" s="1801" customFormat="1" hidden="1" x14ac:dyDescent="0.2">
      <c r="A123" s="2295"/>
      <c r="B123" s="342" t="s">
        <v>259</v>
      </c>
      <c r="C123" s="298">
        <f>C115</f>
        <v>5</v>
      </c>
      <c r="D123" s="1797">
        <f>E123/C123</f>
        <v>1368</v>
      </c>
      <c r="E123" s="2293">
        <v>6840</v>
      </c>
      <c r="F123" s="2293"/>
      <c r="G123" s="1798"/>
      <c r="H123" s="2294">
        <f>H115</f>
        <v>2</v>
      </c>
      <c r="I123" s="2296">
        <v>2660</v>
      </c>
      <c r="J123" s="1800"/>
      <c r="K123" s="1800"/>
      <c r="N123" s="2295"/>
      <c r="O123" s="342" t="s">
        <v>259</v>
      </c>
      <c r="P123" s="298">
        <f>P115</f>
        <v>0</v>
      </c>
      <c r="Q123" s="1797">
        <f t="shared" si="51"/>
        <v>1330</v>
      </c>
      <c r="R123" s="339">
        <f t="shared" si="52"/>
        <v>0</v>
      </c>
      <c r="S123" s="2293"/>
      <c r="T123" s="1798"/>
      <c r="U123" s="2294">
        <f>U115</f>
        <v>2</v>
      </c>
      <c r="V123" s="2296">
        <v>2660</v>
      </c>
      <c r="X123" s="1802">
        <f t="shared" si="44"/>
        <v>-5</v>
      </c>
      <c r="Y123" s="1803">
        <f t="shared" si="50"/>
        <v>-38</v>
      </c>
      <c r="Z123" s="1803">
        <f t="shared" si="45"/>
        <v>-6840</v>
      </c>
      <c r="AA123" s="1803">
        <f t="shared" si="46"/>
        <v>0</v>
      </c>
      <c r="AB123" s="1804">
        <f t="shared" si="47"/>
        <v>0</v>
      </c>
      <c r="AC123" s="1803">
        <f t="shared" si="48"/>
        <v>0</v>
      </c>
      <c r="AD123" s="1803">
        <f t="shared" si="49"/>
        <v>0</v>
      </c>
    </row>
    <row r="124" spans="1:30" s="1801" customFormat="1" hidden="1" x14ac:dyDescent="0.2">
      <c r="A124" s="2295"/>
      <c r="B124" s="342" t="s">
        <v>301</v>
      </c>
      <c r="C124" s="2294">
        <f>7*C115</f>
        <v>35</v>
      </c>
      <c r="D124" s="1797">
        <f>E124/C124</f>
        <v>444.04195804195797</v>
      </c>
      <c r="E124" s="2293">
        <v>15541.468531468528</v>
      </c>
      <c r="F124" s="2293"/>
      <c r="G124" s="1798"/>
      <c r="H124" s="2294">
        <f>7*H115</f>
        <v>14</v>
      </c>
      <c r="I124" s="2296">
        <v>6389.5804195804185</v>
      </c>
      <c r="J124" s="1800"/>
      <c r="K124" s="1800"/>
      <c r="N124" s="2295"/>
      <c r="O124" s="342" t="s">
        <v>301</v>
      </c>
      <c r="P124" s="2294">
        <f>7*P115</f>
        <v>0</v>
      </c>
      <c r="Q124" s="1797">
        <f t="shared" si="51"/>
        <v>456.39860139860133</v>
      </c>
      <c r="R124" s="339">
        <f t="shared" si="52"/>
        <v>0</v>
      </c>
      <c r="S124" s="2293"/>
      <c r="T124" s="1798"/>
      <c r="U124" s="2294">
        <f>7*U115</f>
        <v>14</v>
      </c>
      <c r="V124" s="2296">
        <v>6389.5804195804185</v>
      </c>
      <c r="X124" s="1802">
        <f t="shared" si="44"/>
        <v>-35</v>
      </c>
      <c r="Y124" s="1803">
        <f t="shared" si="50"/>
        <v>12.35664335664336</v>
      </c>
      <c r="Z124" s="1803">
        <f t="shared" si="45"/>
        <v>-15541.468531468528</v>
      </c>
      <c r="AA124" s="1803">
        <f t="shared" si="46"/>
        <v>0</v>
      </c>
      <c r="AB124" s="1804">
        <f t="shared" si="47"/>
        <v>0</v>
      </c>
      <c r="AC124" s="1803">
        <f t="shared" si="48"/>
        <v>0</v>
      </c>
      <c r="AD124" s="1803">
        <f t="shared" si="49"/>
        <v>0</v>
      </c>
    </row>
    <row r="125" spans="1:30" s="1801" customFormat="1" ht="51" hidden="1" x14ac:dyDescent="0.2">
      <c r="A125" s="2295"/>
      <c r="B125" s="342" t="s">
        <v>302</v>
      </c>
      <c r="C125" s="298">
        <f>2*C115</f>
        <v>10</v>
      </c>
      <c r="D125" s="1797">
        <f>E125/C125</f>
        <v>5168</v>
      </c>
      <c r="E125" s="2293">
        <v>51680</v>
      </c>
      <c r="F125" s="2293"/>
      <c r="G125" s="1798"/>
      <c r="H125" s="2294">
        <f>2</f>
        <v>2</v>
      </c>
      <c r="I125" s="2296">
        <v>20596</v>
      </c>
      <c r="J125" s="1800"/>
      <c r="K125" s="1800"/>
      <c r="M125" s="2309"/>
      <c r="N125" s="2295"/>
      <c r="O125" s="342" t="s">
        <v>302</v>
      </c>
      <c r="P125" s="298">
        <f>2*P115</f>
        <v>0</v>
      </c>
      <c r="Q125" s="1797">
        <f t="shared" si="51"/>
        <v>10298</v>
      </c>
      <c r="R125" s="339">
        <f t="shared" si="52"/>
        <v>0</v>
      </c>
      <c r="S125" s="2293"/>
      <c r="T125" s="1798"/>
      <c r="U125" s="2294">
        <f>2</f>
        <v>2</v>
      </c>
      <c r="V125" s="2296">
        <v>20596</v>
      </c>
      <c r="W125" s="2309"/>
      <c r="X125" s="1802">
        <f t="shared" si="44"/>
        <v>-10</v>
      </c>
      <c r="Y125" s="1803">
        <f t="shared" si="50"/>
        <v>5130</v>
      </c>
      <c r="Z125" s="1803">
        <f t="shared" si="45"/>
        <v>-51680</v>
      </c>
      <c r="AA125" s="1803">
        <f t="shared" si="46"/>
        <v>0</v>
      </c>
      <c r="AB125" s="1804">
        <f t="shared" si="47"/>
        <v>0</v>
      </c>
      <c r="AC125" s="1803">
        <f t="shared" si="48"/>
        <v>0</v>
      </c>
      <c r="AD125" s="1803">
        <f t="shared" si="49"/>
        <v>0</v>
      </c>
    </row>
    <row r="126" spans="1:30" s="2314" customFormat="1" ht="25.5" hidden="1" x14ac:dyDescent="0.2">
      <c r="A126" s="2295"/>
      <c r="B126" s="2310" t="s">
        <v>303</v>
      </c>
      <c r="C126" s="339">
        <v>6</v>
      </c>
      <c r="D126" s="1642"/>
      <c r="E126" s="339"/>
      <c r="F126" s="323"/>
      <c r="G126" s="2311"/>
      <c r="H126" s="2312"/>
      <c r="I126" s="1852"/>
      <c r="J126" s="2313"/>
      <c r="K126" s="2313"/>
      <c r="N126" s="2295"/>
      <c r="O126" s="2310" t="s">
        <v>303</v>
      </c>
      <c r="P126" s="298">
        <v>0</v>
      </c>
      <c r="Q126" s="1642"/>
      <c r="R126" s="339"/>
      <c r="S126" s="323"/>
      <c r="T126" s="2311"/>
      <c r="U126" s="2312"/>
      <c r="V126" s="2296">
        <f t="shared" ref="V126:V132" si="53">U126*Q126</f>
        <v>0</v>
      </c>
      <c r="X126" s="1802">
        <f t="shared" si="44"/>
        <v>-6</v>
      </c>
      <c r="Y126" s="1803">
        <f t="shared" si="50"/>
        <v>0</v>
      </c>
      <c r="Z126" s="1803">
        <f t="shared" si="45"/>
        <v>0</v>
      </c>
      <c r="AA126" s="1803">
        <f t="shared" si="46"/>
        <v>0</v>
      </c>
      <c r="AB126" s="1804">
        <f t="shared" si="47"/>
        <v>0</v>
      </c>
      <c r="AC126" s="1803">
        <f t="shared" si="48"/>
        <v>0</v>
      </c>
      <c r="AD126" s="1803">
        <f t="shared" si="49"/>
        <v>0</v>
      </c>
    </row>
    <row r="127" spans="1:30" s="1801" customFormat="1" hidden="1" x14ac:dyDescent="0.2">
      <c r="A127" s="2295"/>
      <c r="B127" s="342" t="s">
        <v>304</v>
      </c>
      <c r="C127" s="339">
        <f>C126</f>
        <v>6</v>
      </c>
      <c r="D127" s="1642">
        <f>E127/C127</f>
        <v>1235</v>
      </c>
      <c r="E127" s="339">
        <v>7410</v>
      </c>
      <c r="F127" s="323"/>
      <c r="G127" s="1798"/>
      <c r="H127" s="2294"/>
      <c r="I127" s="1852"/>
      <c r="J127" s="1800"/>
      <c r="K127" s="1800"/>
      <c r="N127" s="2295"/>
      <c r="O127" s="342" t="s">
        <v>304</v>
      </c>
      <c r="P127" s="298">
        <f>2*P117</f>
        <v>0</v>
      </c>
      <c r="Q127" s="1642">
        <v>1235</v>
      </c>
      <c r="R127" s="339">
        <f>Q127*P127</f>
        <v>0</v>
      </c>
      <c r="S127" s="323"/>
      <c r="T127" s="1798"/>
      <c r="U127" s="2294"/>
      <c r="V127" s="2296">
        <f t="shared" si="53"/>
        <v>0</v>
      </c>
      <c r="W127" s="2298"/>
      <c r="X127" s="1802">
        <f t="shared" si="44"/>
        <v>-6</v>
      </c>
      <c r="Y127" s="1803">
        <f t="shared" si="50"/>
        <v>0</v>
      </c>
      <c r="Z127" s="1803">
        <f t="shared" si="45"/>
        <v>-7410</v>
      </c>
      <c r="AA127" s="1803">
        <f t="shared" si="46"/>
        <v>0</v>
      </c>
      <c r="AB127" s="1804">
        <f t="shared" si="47"/>
        <v>0</v>
      </c>
      <c r="AC127" s="1803">
        <f t="shared" si="48"/>
        <v>0</v>
      </c>
      <c r="AD127" s="1803">
        <f t="shared" si="49"/>
        <v>0</v>
      </c>
    </row>
    <row r="128" spans="1:30" s="1801" customFormat="1" hidden="1" x14ac:dyDescent="0.2">
      <c r="A128" s="2295"/>
      <c r="B128" s="342" t="s">
        <v>305</v>
      </c>
      <c r="C128" s="339">
        <f>C126</f>
        <v>6</v>
      </c>
      <c r="D128" s="1642">
        <f>E128/C128</f>
        <v>2280</v>
      </c>
      <c r="E128" s="339">
        <v>13680</v>
      </c>
      <c r="F128" s="323"/>
      <c r="G128" s="1798"/>
      <c r="H128" s="2294"/>
      <c r="I128" s="1852"/>
      <c r="J128" s="1800"/>
      <c r="K128" s="1800"/>
      <c r="N128" s="2295"/>
      <c r="O128" s="342" t="s">
        <v>305</v>
      </c>
      <c r="P128" s="298">
        <f>2*P118</f>
        <v>0</v>
      </c>
      <c r="Q128" s="1642">
        <v>2280</v>
      </c>
      <c r="R128" s="339">
        <f>Q128*P128</f>
        <v>0</v>
      </c>
      <c r="S128" s="323"/>
      <c r="T128" s="1798"/>
      <c r="U128" s="2294"/>
      <c r="V128" s="2296">
        <f t="shared" si="53"/>
        <v>0</v>
      </c>
      <c r="W128" s="2298"/>
      <c r="X128" s="1802">
        <f t="shared" si="44"/>
        <v>-6</v>
      </c>
      <c r="Y128" s="1803">
        <f t="shared" si="50"/>
        <v>0</v>
      </c>
      <c r="Z128" s="1803">
        <f t="shared" si="45"/>
        <v>-13680</v>
      </c>
      <c r="AA128" s="1803">
        <f t="shared" si="46"/>
        <v>0</v>
      </c>
      <c r="AB128" s="1804">
        <f t="shared" si="47"/>
        <v>0</v>
      </c>
      <c r="AC128" s="1803">
        <f t="shared" si="48"/>
        <v>0</v>
      </c>
      <c r="AD128" s="1803">
        <f t="shared" si="49"/>
        <v>0</v>
      </c>
    </row>
    <row r="129" spans="1:30" s="1801" customFormat="1" hidden="1" x14ac:dyDescent="0.2">
      <c r="A129" s="2295"/>
      <c r="B129" s="342" t="s">
        <v>306</v>
      </c>
      <c r="C129" s="339">
        <f>C126</f>
        <v>6</v>
      </c>
      <c r="D129" s="1642">
        <f>E129/C129</f>
        <v>1235</v>
      </c>
      <c r="E129" s="339">
        <v>7410</v>
      </c>
      <c r="F129" s="323"/>
      <c r="G129" s="1798"/>
      <c r="H129" s="2294"/>
      <c r="I129" s="1852"/>
      <c r="J129" s="1800"/>
      <c r="K129" s="1800"/>
      <c r="N129" s="2295"/>
      <c r="O129" s="342" t="s">
        <v>306</v>
      </c>
      <c r="P129" s="298">
        <f>2*P119</f>
        <v>0</v>
      </c>
      <c r="Q129" s="1642">
        <v>1235</v>
      </c>
      <c r="R129" s="339">
        <f>Q129*P129</f>
        <v>0</v>
      </c>
      <c r="S129" s="323"/>
      <c r="T129" s="1798"/>
      <c r="U129" s="2294"/>
      <c r="V129" s="2296">
        <f t="shared" si="53"/>
        <v>0</v>
      </c>
      <c r="X129" s="1802">
        <f t="shared" si="44"/>
        <v>-6</v>
      </c>
      <c r="Y129" s="1803">
        <f t="shared" si="50"/>
        <v>0</v>
      </c>
      <c r="Z129" s="1803">
        <f t="shared" si="45"/>
        <v>-7410</v>
      </c>
      <c r="AA129" s="1803">
        <f t="shared" si="46"/>
        <v>0</v>
      </c>
      <c r="AB129" s="1804">
        <f t="shared" si="47"/>
        <v>0</v>
      </c>
      <c r="AC129" s="1803">
        <f t="shared" si="48"/>
        <v>0</v>
      </c>
      <c r="AD129" s="1803">
        <f t="shared" si="49"/>
        <v>0</v>
      </c>
    </row>
    <row r="130" spans="1:30" s="1801" customFormat="1" hidden="1" x14ac:dyDescent="0.2">
      <c r="A130" s="2295"/>
      <c r="B130" s="342" t="s">
        <v>307</v>
      </c>
      <c r="C130" s="339">
        <f>3*C126</f>
        <v>18</v>
      </c>
      <c r="D130" s="1642">
        <f>E130/C130</f>
        <v>359</v>
      </c>
      <c r="E130" s="339">
        <v>6462</v>
      </c>
      <c r="F130" s="323"/>
      <c r="G130" s="1798"/>
      <c r="H130" s="2294"/>
      <c r="I130" s="1852"/>
      <c r="J130" s="1800"/>
      <c r="K130" s="1800"/>
      <c r="N130" s="2295"/>
      <c r="O130" s="342" t="s">
        <v>307</v>
      </c>
      <c r="P130" s="298">
        <f>2*P120</f>
        <v>0</v>
      </c>
      <c r="Q130" s="1642">
        <v>359</v>
      </c>
      <c r="R130" s="339">
        <f>Q130*P130</f>
        <v>0</v>
      </c>
      <c r="S130" s="323"/>
      <c r="T130" s="1798"/>
      <c r="U130" s="2294"/>
      <c r="V130" s="2296">
        <f t="shared" si="53"/>
        <v>0</v>
      </c>
      <c r="X130" s="1802">
        <f t="shared" si="44"/>
        <v>-18</v>
      </c>
      <c r="Y130" s="1803">
        <f t="shared" si="50"/>
        <v>0</v>
      </c>
      <c r="Z130" s="1803">
        <f t="shared" si="45"/>
        <v>-6462</v>
      </c>
      <c r="AA130" s="1803">
        <f t="shared" si="46"/>
        <v>0</v>
      </c>
      <c r="AB130" s="1804">
        <f t="shared" si="47"/>
        <v>0</v>
      </c>
      <c r="AC130" s="1803">
        <f t="shared" si="48"/>
        <v>0</v>
      </c>
      <c r="AD130" s="1803">
        <f t="shared" si="49"/>
        <v>0</v>
      </c>
    </row>
    <row r="131" spans="1:30" s="1801" customFormat="1" hidden="1" x14ac:dyDescent="0.2">
      <c r="A131" s="2295"/>
      <c r="B131" s="342" t="s">
        <v>308</v>
      </c>
      <c r="C131" s="339">
        <f>3*C126</f>
        <v>18</v>
      </c>
      <c r="D131" s="1642">
        <f>E131/C131</f>
        <v>456</v>
      </c>
      <c r="E131" s="339">
        <v>8208</v>
      </c>
      <c r="F131" s="323"/>
      <c r="G131" s="1798"/>
      <c r="H131" s="2294"/>
      <c r="I131" s="1852"/>
      <c r="J131" s="1800"/>
      <c r="K131" s="1800"/>
      <c r="N131" s="2295"/>
      <c r="O131" s="342" t="s">
        <v>308</v>
      </c>
      <c r="P131" s="298">
        <f>2*P121</f>
        <v>0</v>
      </c>
      <c r="Q131" s="1642">
        <v>456</v>
      </c>
      <c r="R131" s="339">
        <f>Q131*P131</f>
        <v>0</v>
      </c>
      <c r="S131" s="323"/>
      <c r="T131" s="1798"/>
      <c r="U131" s="2294"/>
      <c r="V131" s="2296">
        <f t="shared" si="53"/>
        <v>0</v>
      </c>
      <c r="X131" s="1802">
        <f t="shared" si="44"/>
        <v>-18</v>
      </c>
      <c r="Y131" s="1803">
        <f t="shared" si="50"/>
        <v>0</v>
      </c>
      <c r="Z131" s="1803">
        <f t="shared" si="45"/>
        <v>-8208</v>
      </c>
      <c r="AA131" s="1803">
        <f t="shared" si="46"/>
        <v>0</v>
      </c>
      <c r="AB131" s="1804">
        <f t="shared" si="47"/>
        <v>0</v>
      </c>
      <c r="AC131" s="1803">
        <f t="shared" si="48"/>
        <v>0</v>
      </c>
      <c r="AD131" s="1803">
        <f t="shared" si="49"/>
        <v>0</v>
      </c>
    </row>
    <row r="132" spans="1:30" s="2314" customFormat="1" hidden="1" x14ac:dyDescent="0.2">
      <c r="A132" s="2696"/>
      <c r="B132" s="2310" t="s">
        <v>309</v>
      </c>
      <c r="C132" s="2293"/>
      <c r="D132" s="2692"/>
      <c r="E132" s="2293">
        <f>SUM(E127:E131)</f>
        <v>43170</v>
      </c>
      <c r="F132" s="323"/>
      <c r="G132" s="2311"/>
      <c r="H132" s="2312"/>
      <c r="I132" s="1852"/>
      <c r="J132" s="2313"/>
      <c r="K132" s="2313"/>
      <c r="N132" s="2696"/>
      <c r="O132" s="2310" t="s">
        <v>309</v>
      </c>
      <c r="P132" s="2293"/>
      <c r="Q132" s="2692"/>
      <c r="R132" s="2293">
        <f>SUM(R127:R131)</f>
        <v>0</v>
      </c>
      <c r="S132" s="323"/>
      <c r="T132" s="2311"/>
      <c r="U132" s="2312"/>
      <c r="V132" s="2296">
        <f t="shared" si="53"/>
        <v>0</v>
      </c>
      <c r="X132" s="1802">
        <f t="shared" si="44"/>
        <v>0</v>
      </c>
      <c r="Y132" s="1803">
        <f t="shared" si="50"/>
        <v>0</v>
      </c>
      <c r="Z132" s="1803">
        <f t="shared" si="45"/>
        <v>-43170</v>
      </c>
      <c r="AA132" s="1803">
        <f t="shared" si="46"/>
        <v>0</v>
      </c>
      <c r="AB132" s="1804">
        <f t="shared" si="47"/>
        <v>0</v>
      </c>
      <c r="AC132" s="1803">
        <f t="shared" si="48"/>
        <v>0</v>
      </c>
      <c r="AD132" s="1803">
        <f t="shared" si="49"/>
        <v>0</v>
      </c>
    </row>
    <row r="133" spans="1:30" s="1801" customFormat="1" ht="13.5" hidden="1" customHeight="1" x14ac:dyDescent="0.2">
      <c r="A133" s="2697"/>
      <c r="B133" s="2416" t="s">
        <v>13</v>
      </c>
      <c r="C133" s="2693"/>
      <c r="D133" s="2694"/>
      <c r="E133" s="2695">
        <f>SUM(E117:E131)</f>
        <v>359248.54545454547</v>
      </c>
      <c r="F133" s="2695"/>
      <c r="G133" s="1798"/>
      <c r="H133" s="1798" t="s">
        <v>310</v>
      </c>
      <c r="I133" s="2698">
        <f>SUM(I117:I131)</f>
        <v>125095.27272727274</v>
      </c>
      <c r="J133" s="1800">
        <v>368748.54545454547</v>
      </c>
      <c r="K133" s="1800">
        <v>128895.27272727274</v>
      </c>
      <c r="N133" s="2697"/>
      <c r="O133" s="2416" t="s">
        <v>13</v>
      </c>
      <c r="P133" s="2693"/>
      <c r="Q133" s="2694"/>
      <c r="R133" s="2695">
        <f>SUM(R117:R131)</f>
        <v>0</v>
      </c>
      <c r="S133" s="2695"/>
      <c r="T133" s="1798"/>
      <c r="U133" s="1798" t="s">
        <v>310</v>
      </c>
      <c r="V133" s="2698"/>
      <c r="X133" s="2317"/>
      <c r="Y133" s="2317"/>
      <c r="Z133" s="2318">
        <f>SUM(Z117:Z132)</f>
        <v>-402418.54545454547</v>
      </c>
      <c r="AA133" s="2318">
        <f>SUM(AA117:AA132)</f>
        <v>0</v>
      </c>
      <c r="AB133" s="2318">
        <f>SUM(AB117:AB132)</f>
        <v>0</v>
      </c>
      <c r="AC133" s="2318">
        <f>SUM(AC117:AC132)</f>
        <v>0</v>
      </c>
      <c r="AD133" s="2318">
        <f>SUM(AD117:AD132)</f>
        <v>0</v>
      </c>
    </row>
    <row r="134" spans="1:30" s="1718" customFormat="1" ht="13.5" hidden="1" customHeight="1" x14ac:dyDescent="0.2">
      <c r="A134" s="2673"/>
      <c r="B134" s="2360" t="s">
        <v>311</v>
      </c>
      <c r="C134" s="2360"/>
      <c r="D134" s="2669"/>
      <c r="E134" s="2360"/>
      <c r="F134" s="2360"/>
      <c r="G134" s="2360"/>
      <c r="H134" s="2360"/>
      <c r="I134" s="2446"/>
      <c r="N134" s="2673" t="s">
        <v>311</v>
      </c>
      <c r="O134" s="2360"/>
      <c r="P134" s="2360"/>
      <c r="Q134" s="2669"/>
      <c r="R134" s="2360"/>
      <c r="S134" s="2360"/>
      <c r="T134" s="2360"/>
      <c r="U134" s="2360"/>
      <c r="V134" s="2816"/>
      <c r="X134" s="328"/>
      <c r="Y134" s="328"/>
      <c r="Z134" s="328"/>
      <c r="AA134" s="328"/>
      <c r="AB134" s="328"/>
      <c r="AC134" s="328"/>
      <c r="AD134" s="328"/>
    </row>
    <row r="135" spans="1:30" hidden="1" x14ac:dyDescent="0.2">
      <c r="A135" s="2419"/>
      <c r="B135" s="2360" t="s">
        <v>312</v>
      </c>
      <c r="C135" s="1715"/>
      <c r="D135" s="1645"/>
      <c r="E135" s="1715"/>
      <c r="F135" s="1715"/>
      <c r="G135" s="325"/>
      <c r="H135" s="1715"/>
      <c r="I135" s="2682"/>
      <c r="N135" s="2673" t="s">
        <v>312</v>
      </c>
      <c r="O135" s="1715"/>
      <c r="P135" s="1715"/>
      <c r="Q135" s="1645"/>
      <c r="R135" s="1715"/>
      <c r="S135" s="1715"/>
      <c r="T135" s="1715"/>
      <c r="U135" s="1715"/>
      <c r="V135" s="2682"/>
    </row>
    <row r="136" spans="1:30" s="1718" customFormat="1" hidden="1" x14ac:dyDescent="0.2">
      <c r="A136" s="2673"/>
      <c r="B136" s="2360" t="s">
        <v>313</v>
      </c>
      <c r="C136" s="2360"/>
      <c r="D136" s="2669"/>
      <c r="E136" s="2360"/>
      <c r="F136" s="2360"/>
      <c r="G136" s="2360"/>
      <c r="H136" s="2360"/>
      <c r="I136" s="2446"/>
      <c r="N136" s="2673"/>
      <c r="O136" s="2360"/>
      <c r="P136" s="2360"/>
      <c r="Q136" s="2669"/>
      <c r="R136" s="2360"/>
      <c r="S136" s="2360"/>
      <c r="T136" s="2360"/>
      <c r="U136" s="2360"/>
      <c r="V136" s="2446"/>
      <c r="X136" s="328"/>
      <c r="Y136" s="328"/>
      <c r="Z136" s="328"/>
      <c r="AA136" s="328"/>
      <c r="AB136" s="328"/>
      <c r="AC136" s="328"/>
      <c r="AD136" s="328"/>
    </row>
    <row r="137" spans="1:30" s="1718" customFormat="1" ht="13.5" hidden="1" thickBot="1" x14ac:dyDescent="0.25">
      <c r="A137" s="2420"/>
      <c r="B137" s="2421" t="s">
        <v>314</v>
      </c>
      <c r="C137" s="2421"/>
      <c r="D137" s="2422"/>
      <c r="E137" s="2421"/>
      <c r="F137" s="2421"/>
      <c r="G137" s="2421"/>
      <c r="H137" s="2421"/>
      <c r="I137" s="2423"/>
      <c r="N137" s="2420" t="s">
        <v>314</v>
      </c>
      <c r="O137" s="2421"/>
      <c r="P137" s="2421"/>
      <c r="Q137" s="2422"/>
      <c r="R137" s="2421"/>
      <c r="S137" s="2421"/>
      <c r="T137" s="2421"/>
      <c r="U137" s="2421"/>
      <c r="V137" s="2423"/>
      <c r="X137" s="2220"/>
      <c r="Y137" s="2220"/>
      <c r="Z137" s="2220"/>
      <c r="AA137" s="2220"/>
      <c r="AB137" s="2220"/>
      <c r="AC137" s="2220"/>
      <c r="AD137" s="2220"/>
    </row>
    <row r="138" spans="1:30" s="1718" customFormat="1" ht="13.5" thickBot="1" x14ac:dyDescent="0.25">
      <c r="D138" s="2184"/>
      <c r="Q138" s="2184"/>
      <c r="X138" s="2220"/>
      <c r="Y138" s="2220"/>
      <c r="Z138" s="2220"/>
      <c r="AA138" s="2220"/>
      <c r="AB138" s="2220"/>
      <c r="AC138" s="2220"/>
      <c r="AD138" s="2220"/>
    </row>
    <row r="139" spans="1:30" x14ac:dyDescent="0.2">
      <c r="A139" s="2150">
        <v>4.0999999999999996</v>
      </c>
      <c r="B139" s="2138" t="s">
        <v>315</v>
      </c>
      <c r="C139" s="3186" t="s">
        <v>104</v>
      </c>
      <c r="D139" s="3186"/>
      <c r="E139" s="3186"/>
      <c r="F139" s="2151"/>
      <c r="G139" s="2152"/>
      <c r="H139" s="3186" t="s">
        <v>88</v>
      </c>
      <c r="I139" s="3187"/>
      <c r="N139" s="2150">
        <v>4.0999999999999996</v>
      </c>
      <c r="O139" s="2138" t="s">
        <v>315</v>
      </c>
      <c r="P139" s="3185" t="s">
        <v>812</v>
      </c>
      <c r="Q139" s="3186"/>
      <c r="R139" s="3186"/>
      <c r="S139" s="2151"/>
      <c r="T139" s="2152"/>
      <c r="U139" s="3186" t="s">
        <v>88</v>
      </c>
      <c r="V139" s="3187"/>
      <c r="X139" s="3188" t="s">
        <v>506</v>
      </c>
      <c r="Y139" s="3186"/>
      <c r="Z139" s="3186"/>
      <c r="AA139" s="2151"/>
      <c r="AB139" s="2153"/>
      <c r="AC139" s="3189" t="s">
        <v>88</v>
      </c>
      <c r="AD139" s="3190"/>
    </row>
    <row r="140" spans="1:30" ht="38.25" x14ac:dyDescent="0.2">
      <c r="A140" s="2195"/>
      <c r="B140" s="2196" t="s">
        <v>228</v>
      </c>
      <c r="C140" s="2196" t="s">
        <v>54</v>
      </c>
      <c r="D140" s="2156" t="s">
        <v>91</v>
      </c>
      <c r="E140" s="2196" t="s">
        <v>92</v>
      </c>
      <c r="F140" s="2155" t="s">
        <v>106</v>
      </c>
      <c r="G140" s="357"/>
      <c r="H140" s="2196" t="s">
        <v>54</v>
      </c>
      <c r="I140" s="2319" t="s">
        <v>92</v>
      </c>
      <c r="N140" s="2195"/>
      <c r="O140" s="2196" t="s">
        <v>228</v>
      </c>
      <c r="P140" s="2196" t="s">
        <v>54</v>
      </c>
      <c r="Q140" s="2156" t="s">
        <v>91</v>
      </c>
      <c r="R140" s="2196" t="s">
        <v>92</v>
      </c>
      <c r="S140" s="2155" t="s">
        <v>106</v>
      </c>
      <c r="T140" s="357"/>
      <c r="U140" s="2196" t="s">
        <v>54</v>
      </c>
      <c r="V140" s="2319" t="s">
        <v>92</v>
      </c>
      <c r="X140" s="2154" t="s">
        <v>90</v>
      </c>
      <c r="Y140" s="2155" t="s">
        <v>91</v>
      </c>
      <c r="Z140" s="2158" t="s">
        <v>507</v>
      </c>
      <c r="AA140" s="2158"/>
      <c r="AB140" s="2161"/>
      <c r="AC140" s="2162" t="s">
        <v>54</v>
      </c>
      <c r="AD140" s="2163" t="s">
        <v>507</v>
      </c>
    </row>
    <row r="141" spans="1:30" ht="13.5" customHeight="1" x14ac:dyDescent="0.2">
      <c r="A141" s="1820"/>
      <c r="B141" s="1821" t="s">
        <v>316</v>
      </c>
      <c r="C141" s="316">
        <v>70</v>
      </c>
      <c r="D141" s="1747">
        <v>5472</v>
      </c>
      <c r="E141" s="316">
        <f>D141*C141*0.85</f>
        <v>325584</v>
      </c>
      <c r="F141" s="316">
        <f>D141*C141*0.15</f>
        <v>57456</v>
      </c>
      <c r="G141" s="318"/>
      <c r="H141" s="3202"/>
      <c r="I141" s="3203"/>
      <c r="L141" s="328">
        <f>6*20*12*3.8</f>
        <v>5472</v>
      </c>
      <c r="N141" s="1820"/>
      <c r="O141" s="1821" t="s">
        <v>316</v>
      </c>
      <c r="P141" s="316">
        <v>50</v>
      </c>
      <c r="Q141" s="1646"/>
      <c r="R141" s="316"/>
      <c r="S141" s="316"/>
      <c r="T141" s="318"/>
      <c r="U141" s="3202"/>
      <c r="V141" s="3203"/>
      <c r="X141" s="1704">
        <f>P141-C141</f>
        <v>-20</v>
      </c>
      <c r="Y141" s="1705">
        <f>Q141-D141</f>
        <v>-5472</v>
      </c>
      <c r="Z141" s="1705"/>
      <c r="AA141" s="1705"/>
      <c r="AB141" s="1706">
        <f>T141-F141</f>
        <v>-57456</v>
      </c>
      <c r="AC141" s="1705">
        <f>U141-H141</f>
        <v>0</v>
      </c>
      <c r="AD141" s="1705">
        <f>V141-I141</f>
        <v>0</v>
      </c>
    </row>
    <row r="142" spans="1:30" ht="13.5" customHeight="1" x14ac:dyDescent="0.2">
      <c r="A142" s="1820"/>
      <c r="B142" s="1821"/>
      <c r="C142" s="316"/>
      <c r="D142" s="1646"/>
      <c r="E142" s="316"/>
      <c r="F142" s="316"/>
      <c r="G142" s="318"/>
      <c r="H142" s="1822"/>
      <c r="I142" s="1823"/>
      <c r="N142" s="1820"/>
      <c r="O142" s="1821" t="s">
        <v>156</v>
      </c>
      <c r="P142" s="316">
        <v>50</v>
      </c>
      <c r="Q142" s="1646">
        <v>3000</v>
      </c>
      <c r="R142" s="316">
        <f>Q142*P142*0.85</f>
        <v>127500</v>
      </c>
      <c r="S142" s="316">
        <f>Q142*P142*0.15</f>
        <v>22500</v>
      </c>
      <c r="T142" s="318"/>
      <c r="U142" s="1822"/>
      <c r="V142" s="1823"/>
      <c r="X142" s="1704">
        <f>P142-C142</f>
        <v>50</v>
      </c>
      <c r="Y142" s="1705">
        <f>Q142-D142</f>
        <v>3000</v>
      </c>
      <c r="Z142" s="1705">
        <f>E141-R142</f>
        <v>198084</v>
      </c>
      <c r="AA142" s="1705">
        <f>F141-S142</f>
        <v>34956</v>
      </c>
      <c r="AB142" s="1706">
        <f>T142-F142</f>
        <v>0</v>
      </c>
      <c r="AC142" s="1705">
        <f>U142-H142</f>
        <v>0</v>
      </c>
      <c r="AD142" s="1705">
        <f>V142-I142</f>
        <v>0</v>
      </c>
    </row>
    <row r="143" spans="1:30" ht="13.5" customHeight="1" thickBot="1" x14ac:dyDescent="0.25">
      <c r="A143" s="2415"/>
      <c r="B143" s="2416" t="s">
        <v>13</v>
      </c>
      <c r="C143" s="2417"/>
      <c r="D143" s="2418"/>
      <c r="E143" s="2680">
        <f>SUM(E141:E141)</f>
        <v>325584</v>
      </c>
      <c r="F143" s="2680">
        <f>SUM(F141:F141)</f>
        <v>57456</v>
      </c>
      <c r="G143" s="318"/>
      <c r="H143" s="318"/>
      <c r="I143" s="1860">
        <v>0</v>
      </c>
      <c r="J143" s="327">
        <v>346375</v>
      </c>
      <c r="N143" s="2415"/>
      <c r="O143" s="2416" t="s">
        <v>13</v>
      </c>
      <c r="P143" s="2417"/>
      <c r="Q143" s="2418"/>
      <c r="R143" s="2680">
        <f>SUM(R141:R142)</f>
        <v>127500</v>
      </c>
      <c r="S143" s="2680">
        <f>SUM(S141:S142)</f>
        <v>22500</v>
      </c>
      <c r="T143" s="318"/>
      <c r="U143" s="318"/>
      <c r="V143" s="1860">
        <v>0</v>
      </c>
      <c r="X143" s="1792"/>
      <c r="Y143" s="1789">
        <f>SUM(Y141:Y142)</f>
        <v>-2472</v>
      </c>
      <c r="Z143" s="1789">
        <f>SUM(Z142:Z142)</f>
        <v>198084</v>
      </c>
      <c r="AA143" s="1789">
        <f>SUM(AA141:AA142)</f>
        <v>34956</v>
      </c>
      <c r="AB143" s="1789">
        <f>SUM(AB141:AB142)</f>
        <v>-57456</v>
      </c>
      <c r="AC143" s="1789">
        <f>SUM(AC141:AC142)</f>
        <v>0</v>
      </c>
      <c r="AD143" s="1789">
        <f>SUM(AD141:AD142)</f>
        <v>0</v>
      </c>
    </row>
    <row r="144" spans="1:30" s="1718" customFormat="1" ht="13.5" customHeight="1" thickBot="1" x14ac:dyDescent="0.25">
      <c r="A144" s="2754" t="s">
        <v>317</v>
      </c>
      <c r="B144" s="2746"/>
      <c r="C144" s="2746"/>
      <c r="D144" s="2746"/>
      <c r="E144" s="2746"/>
      <c r="F144" s="2746"/>
      <c r="G144" s="2421"/>
      <c r="H144" s="2421"/>
      <c r="I144" s="2423"/>
      <c r="J144" s="2260"/>
      <c r="K144" s="2260"/>
      <c r="N144" s="2420"/>
      <c r="O144" s="2746" t="s">
        <v>317</v>
      </c>
      <c r="P144" s="2746"/>
      <c r="Q144" s="2746"/>
      <c r="R144" s="2746"/>
      <c r="S144" s="2746"/>
      <c r="T144" s="2746"/>
      <c r="U144" s="2421"/>
      <c r="V144" s="2423"/>
    </row>
    <row r="145" spans="1:30" s="1718" customFormat="1" ht="13.5" customHeight="1" thickBot="1" x14ac:dyDescent="0.25">
      <c r="D145" s="2184"/>
      <c r="J145" s="2260"/>
      <c r="K145" s="2260"/>
      <c r="Q145" s="2184"/>
      <c r="S145" s="2320"/>
      <c r="X145" s="328"/>
      <c r="Y145" s="328"/>
      <c r="Z145" s="328"/>
      <c r="AA145" s="328"/>
      <c r="AB145" s="328"/>
      <c r="AC145" s="328"/>
      <c r="AD145" s="328"/>
    </row>
    <row r="146" spans="1:30" ht="13.5" customHeight="1" x14ac:dyDescent="0.2">
      <c r="A146" s="2150">
        <v>4.2</v>
      </c>
      <c r="B146" s="2194" t="s">
        <v>318</v>
      </c>
      <c r="C146" s="3186" t="s">
        <v>104</v>
      </c>
      <c r="D146" s="3186"/>
      <c r="E146" s="3186"/>
      <c r="F146" s="2151"/>
      <c r="G146" s="2152"/>
      <c r="H146" s="3186" t="s">
        <v>88</v>
      </c>
      <c r="I146" s="3187"/>
      <c r="N146" s="2150">
        <v>4.2</v>
      </c>
      <c r="O146" s="2194" t="s">
        <v>318</v>
      </c>
      <c r="P146" s="3207" t="s">
        <v>812</v>
      </c>
      <c r="Q146" s="3208"/>
      <c r="R146" s="3209"/>
      <c r="S146" s="2151"/>
      <c r="T146" s="2152"/>
      <c r="U146" s="3186" t="s">
        <v>88</v>
      </c>
      <c r="V146" s="3187"/>
      <c r="X146" s="3188" t="s">
        <v>506</v>
      </c>
      <c r="Y146" s="3186"/>
      <c r="Z146" s="3186"/>
      <c r="AA146" s="2151"/>
      <c r="AB146" s="2153"/>
      <c r="AC146" s="3189" t="s">
        <v>88</v>
      </c>
      <c r="AD146" s="3190"/>
    </row>
    <row r="147" spans="1:30" ht="38.25" x14ac:dyDescent="0.2">
      <c r="A147" s="2195"/>
      <c r="B147" s="2155" t="s">
        <v>89</v>
      </c>
      <c r="C147" s="2196" t="s">
        <v>54</v>
      </c>
      <c r="D147" s="2156" t="s">
        <v>91</v>
      </c>
      <c r="E147" s="2196" t="s">
        <v>92</v>
      </c>
      <c r="F147" s="2155" t="s">
        <v>106</v>
      </c>
      <c r="G147" s="318"/>
      <c r="H147" s="2196" t="s">
        <v>54</v>
      </c>
      <c r="I147" s="2319" t="s">
        <v>92</v>
      </c>
      <c r="N147" s="2195"/>
      <c r="O147" s="2155" t="s">
        <v>89</v>
      </c>
      <c r="P147" s="2196" t="s">
        <v>54</v>
      </c>
      <c r="Q147" s="2156" t="s">
        <v>91</v>
      </c>
      <c r="R147" s="2196" t="s">
        <v>92</v>
      </c>
      <c r="S147" s="2155" t="s">
        <v>106</v>
      </c>
      <c r="T147" s="318"/>
      <c r="U147" s="2196" t="s">
        <v>54</v>
      </c>
      <c r="V147" s="2319" t="s">
        <v>92</v>
      </c>
      <c r="X147" s="2154" t="s">
        <v>90</v>
      </c>
      <c r="Y147" s="2155" t="s">
        <v>91</v>
      </c>
      <c r="Z147" s="2158" t="s">
        <v>507</v>
      </c>
      <c r="AA147" s="2158"/>
      <c r="AB147" s="2161"/>
      <c r="AC147" s="2162" t="s">
        <v>54</v>
      </c>
      <c r="AD147" s="2163" t="s">
        <v>507</v>
      </c>
    </row>
    <row r="148" spans="1:30" s="2328" customFormat="1" ht="47.25" customHeight="1" x14ac:dyDescent="0.2">
      <c r="A148" s="2321"/>
      <c r="B148" s="2322" t="s">
        <v>319</v>
      </c>
      <c r="C148" s="2323">
        <v>4</v>
      </c>
      <c r="D148" s="2324"/>
      <c r="E148" s="2325"/>
      <c r="F148" s="2325"/>
      <c r="G148" s="1798"/>
      <c r="H148" s="1821"/>
      <c r="I148" s="2326"/>
      <c r="J148" s="2327"/>
      <c r="K148" s="2327"/>
      <c r="N148" s="2321"/>
      <c r="O148" s="2322" t="s">
        <v>319</v>
      </c>
      <c r="P148" s="2323">
        <v>4</v>
      </c>
      <c r="Q148" s="2324"/>
      <c r="R148" s="2325"/>
      <c r="S148" s="2325"/>
      <c r="T148" s="1798"/>
      <c r="U148" s="1821"/>
      <c r="V148" s="2326"/>
      <c r="W148" s="1801"/>
      <c r="X148" s="2329">
        <f t="shared" ref="X148:X156" si="54">P148-C148</f>
        <v>0</v>
      </c>
      <c r="Y148" s="2338">
        <f t="shared" ref="Y148:Y156" si="55">Q148-D148</f>
        <v>0</v>
      </c>
      <c r="Z148" s="2338">
        <f t="shared" ref="Z148:Z156" si="56">R148-E148</f>
        <v>0</v>
      </c>
      <c r="AA148" s="2338">
        <f t="shared" ref="AA148:AA156" si="57">S148-F148</f>
        <v>0</v>
      </c>
      <c r="AB148" s="2161"/>
      <c r="AC148" s="2329">
        <f t="shared" ref="AC148:AD155" si="58">U148-H148</f>
        <v>0</v>
      </c>
      <c r="AD148" s="2329">
        <f t="shared" si="58"/>
        <v>0</v>
      </c>
    </row>
    <row r="149" spans="1:30" s="2328" customFormat="1" ht="63.75" x14ac:dyDescent="0.2">
      <c r="A149" s="2321"/>
      <c r="B149" s="2330" t="s">
        <v>320</v>
      </c>
      <c r="C149" s="2325">
        <v>3</v>
      </c>
      <c r="D149" s="2324"/>
      <c r="E149" s="2325"/>
      <c r="F149" s="2325"/>
      <c r="G149" s="1798"/>
      <c r="H149" s="1821">
        <v>3</v>
      </c>
      <c r="I149" s="2326"/>
      <c r="J149" s="2327"/>
      <c r="K149" s="2327"/>
      <c r="N149" s="2321"/>
      <c r="O149" s="2330" t="s">
        <v>320</v>
      </c>
      <c r="P149" s="2325">
        <v>3</v>
      </c>
      <c r="Q149" s="2324"/>
      <c r="R149" s="2325"/>
      <c r="S149" s="2325"/>
      <c r="T149" s="1798"/>
      <c r="U149" s="1821">
        <f>P149</f>
        <v>3</v>
      </c>
      <c r="V149" s="2326"/>
      <c r="W149" s="1801"/>
      <c r="X149" s="2329">
        <f t="shared" si="54"/>
        <v>0</v>
      </c>
      <c r="Y149" s="2338">
        <f t="shared" si="55"/>
        <v>0</v>
      </c>
      <c r="Z149" s="2338">
        <f t="shared" si="56"/>
        <v>0</v>
      </c>
      <c r="AA149" s="2338">
        <f t="shared" si="57"/>
        <v>0</v>
      </c>
      <c r="AB149" s="2161"/>
      <c r="AC149" s="2329">
        <f t="shared" si="58"/>
        <v>0</v>
      </c>
      <c r="AD149" s="2329">
        <f t="shared" si="58"/>
        <v>0</v>
      </c>
    </row>
    <row r="150" spans="1:30" s="1801" customFormat="1" ht="76.5" x14ac:dyDescent="0.2">
      <c r="A150" s="2331"/>
      <c r="B150" s="2216" t="s">
        <v>321</v>
      </c>
      <c r="C150" s="1821">
        <v>6</v>
      </c>
      <c r="D150" s="1642">
        <f>(800+60*12+120*12+400)*J1</f>
        <v>12768</v>
      </c>
      <c r="E150" s="339">
        <f>D150*C150*C149*0.85</f>
        <v>195350.39999999999</v>
      </c>
      <c r="F150" s="339">
        <f>D150*C150*C149*0.15</f>
        <v>34473.599999999999</v>
      </c>
      <c r="G150" s="1798"/>
      <c r="H150" s="2332">
        <v>4</v>
      </c>
      <c r="I150" s="2333">
        <f>D150*H150*H149</f>
        <v>153216</v>
      </c>
      <c r="J150" s="1800"/>
      <c r="K150" s="1800">
        <f>D150*C150*0.85</f>
        <v>65116.799999999996</v>
      </c>
      <c r="M150" s="339"/>
      <c r="N150" s="2331"/>
      <c r="O150" s="2216" t="s">
        <v>632</v>
      </c>
      <c r="P150" s="1821">
        <f>P149*8</f>
        <v>24</v>
      </c>
      <c r="Q150" s="1642">
        <f>(800+60*12+120*12+400)*J1</f>
        <v>12768</v>
      </c>
      <c r="R150" s="339">
        <f>Q150*P150*0.85</f>
        <v>260467.19999999998</v>
      </c>
      <c r="S150" s="339">
        <f>Q150*P150*0.15</f>
        <v>45964.799999999996</v>
      </c>
      <c r="T150" s="1798"/>
      <c r="U150" s="1821">
        <f>U149*7</f>
        <v>21</v>
      </c>
      <c r="V150" s="2333">
        <f>U150*Q150</f>
        <v>268128</v>
      </c>
      <c r="X150" s="2329">
        <f t="shared" si="54"/>
        <v>18</v>
      </c>
      <c r="Y150" s="2338">
        <f t="shared" si="55"/>
        <v>0</v>
      </c>
      <c r="Z150" s="2338">
        <f t="shared" si="56"/>
        <v>65116.799999999988</v>
      </c>
      <c r="AA150" s="2338">
        <f t="shared" si="57"/>
        <v>11491.199999999997</v>
      </c>
      <c r="AB150" s="2161"/>
      <c r="AC150" s="2329">
        <f t="shared" si="58"/>
        <v>17</v>
      </c>
      <c r="AD150" s="2329">
        <f t="shared" si="58"/>
        <v>114912</v>
      </c>
    </row>
    <row r="151" spans="1:30" s="1801" customFormat="1" ht="51" x14ac:dyDescent="0.2">
      <c r="A151" s="2331"/>
      <c r="B151" s="2216" t="s">
        <v>322</v>
      </c>
      <c r="C151" s="1821">
        <v>0</v>
      </c>
      <c r="D151" s="1642">
        <f>(800+60*10+120*10+400)*J1</f>
        <v>11400</v>
      </c>
      <c r="E151" s="339">
        <v>0</v>
      </c>
      <c r="F151" s="339">
        <v>0</v>
      </c>
      <c r="G151" s="1798"/>
      <c r="H151" s="2332">
        <v>10</v>
      </c>
      <c r="I151" s="2333">
        <f>D151*H151</f>
        <v>114000</v>
      </c>
      <c r="J151" s="1800"/>
      <c r="K151" s="1800"/>
      <c r="N151" s="2331"/>
      <c r="O151" s="2216" t="s">
        <v>322</v>
      </c>
      <c r="P151" s="1821">
        <v>0</v>
      </c>
      <c r="Q151" s="1642">
        <f>(800+60*10+120*10+400)*J1</f>
        <v>11400</v>
      </c>
      <c r="R151" s="339">
        <v>0</v>
      </c>
      <c r="S151" s="339">
        <v>0</v>
      </c>
      <c r="T151" s="1798"/>
      <c r="U151" s="2332">
        <v>16</v>
      </c>
      <c r="V151" s="2333">
        <f>U151*Q151</f>
        <v>182400</v>
      </c>
      <c r="X151" s="2329">
        <f t="shared" si="54"/>
        <v>0</v>
      </c>
      <c r="Y151" s="2338">
        <f t="shared" si="55"/>
        <v>0</v>
      </c>
      <c r="Z151" s="2338">
        <f t="shared" si="56"/>
        <v>0</v>
      </c>
      <c r="AA151" s="2338">
        <f t="shared" si="57"/>
        <v>0</v>
      </c>
      <c r="AB151" s="2161"/>
      <c r="AC151" s="2329">
        <f t="shared" si="58"/>
        <v>6</v>
      </c>
      <c r="AD151" s="2329">
        <f t="shared" si="58"/>
        <v>68400</v>
      </c>
    </row>
    <row r="152" spans="1:30" s="1801" customFormat="1" ht="38.25" x14ac:dyDescent="0.2">
      <c r="A152" s="2331"/>
      <c r="B152" s="2216" t="s">
        <v>323</v>
      </c>
      <c r="C152" s="1821"/>
      <c r="D152" s="1642"/>
      <c r="E152" s="339"/>
      <c r="F152" s="339"/>
      <c r="G152" s="1798"/>
      <c r="H152" s="339"/>
      <c r="I152" s="2333">
        <f>55000*J1</f>
        <v>209000</v>
      </c>
      <c r="J152" s="1800"/>
      <c r="K152" s="1800"/>
      <c r="N152" s="2331"/>
      <c r="O152" s="2216" t="s">
        <v>323</v>
      </c>
      <c r="P152" s="1821"/>
      <c r="Q152" s="1642">
        <f>56000/12*J1</f>
        <v>17733.333333333332</v>
      </c>
      <c r="R152" s="339"/>
      <c r="S152" s="339"/>
      <c r="T152" s="1798"/>
      <c r="U152" s="339">
        <v>19</v>
      </c>
      <c r="V152" s="2333">
        <f>U152*Q152</f>
        <v>336933.33333333331</v>
      </c>
      <c r="X152" s="2329">
        <f t="shared" si="54"/>
        <v>0</v>
      </c>
      <c r="Y152" s="2338">
        <f t="shared" si="55"/>
        <v>17733.333333333332</v>
      </c>
      <c r="Z152" s="2338">
        <f t="shared" si="56"/>
        <v>0</v>
      </c>
      <c r="AA152" s="2338">
        <f t="shared" si="57"/>
        <v>0</v>
      </c>
      <c r="AB152" s="2161"/>
      <c r="AC152" s="2329">
        <f t="shared" si="58"/>
        <v>19</v>
      </c>
      <c r="AD152" s="2329">
        <f t="shared" si="58"/>
        <v>127933.33333333331</v>
      </c>
    </row>
    <row r="153" spans="1:30" s="1801" customFormat="1" ht="51" x14ac:dyDescent="0.2">
      <c r="A153" s="2331"/>
      <c r="B153" s="2216" t="s">
        <v>324</v>
      </c>
      <c r="C153" s="1821">
        <v>10</v>
      </c>
      <c r="D153" s="1642">
        <f>(600+60*12+100*12+400)*J1</f>
        <v>11096</v>
      </c>
      <c r="E153" s="339">
        <f>D153*C153*0.85</f>
        <v>94316</v>
      </c>
      <c r="F153" s="339">
        <f>D153*C153*0.15</f>
        <v>16644</v>
      </c>
      <c r="G153" s="1798"/>
      <c r="H153" s="339"/>
      <c r="I153" s="2333"/>
      <c r="J153" s="1800"/>
      <c r="K153" s="1800"/>
      <c r="N153" s="2331"/>
      <c r="O153" s="2216" t="s">
        <v>324</v>
      </c>
      <c r="P153" s="1821">
        <v>16</v>
      </c>
      <c r="Q153" s="1642">
        <f>(600+60*12+100*12+400)*J1</f>
        <v>11096</v>
      </c>
      <c r="R153" s="339">
        <f>Q153*P153*0.85</f>
        <v>150905.60000000001</v>
      </c>
      <c r="S153" s="339">
        <f>Q153*P153*0.15</f>
        <v>26630.399999999998</v>
      </c>
      <c r="T153" s="1798"/>
      <c r="U153" s="339"/>
      <c r="V153" s="2333">
        <v>0</v>
      </c>
      <c r="W153" s="2328"/>
      <c r="X153" s="2329">
        <f t="shared" si="54"/>
        <v>6</v>
      </c>
      <c r="Y153" s="2338">
        <f t="shared" si="55"/>
        <v>0</v>
      </c>
      <c r="Z153" s="2338">
        <f t="shared" si="56"/>
        <v>56589.600000000006</v>
      </c>
      <c r="AA153" s="2338">
        <f t="shared" si="57"/>
        <v>9986.3999999999978</v>
      </c>
      <c r="AB153" s="2161"/>
      <c r="AC153" s="2329">
        <f t="shared" si="58"/>
        <v>0</v>
      </c>
      <c r="AD153" s="2329">
        <f t="shared" si="58"/>
        <v>0</v>
      </c>
    </row>
    <row r="154" spans="1:30" s="1801" customFormat="1" ht="38.25" x14ac:dyDescent="0.2">
      <c r="A154" s="2331"/>
      <c r="B154" s="2216" t="s">
        <v>325</v>
      </c>
      <c r="C154" s="1821">
        <v>0</v>
      </c>
      <c r="D154" s="1642">
        <f>(30000*2+35000*2)/4*J1</f>
        <v>123500</v>
      </c>
      <c r="E154" s="339">
        <f>D154*C154</f>
        <v>0</v>
      </c>
      <c r="F154" s="339">
        <f>E154*D154</f>
        <v>0</v>
      </c>
      <c r="G154" s="1798"/>
      <c r="H154" s="1821">
        <v>4</v>
      </c>
      <c r="I154" s="2333">
        <f>D154*H154</f>
        <v>494000</v>
      </c>
      <c r="J154" s="1800"/>
      <c r="K154" s="1800"/>
      <c r="N154" s="2331"/>
      <c r="O154" s="2216" t="s">
        <v>325</v>
      </c>
      <c r="P154" s="1821">
        <v>0</v>
      </c>
      <c r="Q154" s="1642">
        <f>(30000*2+35000*2)/4*J1/12</f>
        <v>10291.666666666666</v>
      </c>
      <c r="R154" s="339">
        <f>Q154*P154</f>
        <v>0</v>
      </c>
      <c r="S154" s="339">
        <f>R154*Q154</f>
        <v>0</v>
      </c>
      <c r="T154" s="1798"/>
      <c r="U154" s="1821">
        <f>4*19</f>
        <v>76</v>
      </c>
      <c r="V154" s="2333">
        <f>Q154*U154</f>
        <v>782166.66666666663</v>
      </c>
      <c r="W154" s="2328"/>
      <c r="X154" s="2329">
        <f t="shared" si="54"/>
        <v>0</v>
      </c>
      <c r="Y154" s="2847">
        <f t="shared" si="55"/>
        <v>-113208.33333333333</v>
      </c>
      <c r="Z154" s="2338">
        <f t="shared" si="56"/>
        <v>0</v>
      </c>
      <c r="AA154" s="2338">
        <f t="shared" si="57"/>
        <v>0</v>
      </c>
      <c r="AB154" s="2161"/>
      <c r="AC154" s="2329">
        <f t="shared" si="58"/>
        <v>72</v>
      </c>
      <c r="AD154" s="2329">
        <f t="shared" si="58"/>
        <v>288166.66666666663</v>
      </c>
    </row>
    <row r="155" spans="1:30" s="1801" customFormat="1" ht="25.5" x14ac:dyDescent="0.2">
      <c r="A155" s="2321"/>
      <c r="B155" s="2322" t="s">
        <v>326</v>
      </c>
      <c r="C155" s="2323">
        <v>2</v>
      </c>
      <c r="D155" s="2324"/>
      <c r="E155" s="2325"/>
      <c r="F155" s="2325"/>
      <c r="G155" s="1798"/>
      <c r="H155" s="2325"/>
      <c r="I155" s="2756"/>
      <c r="J155" s="1800"/>
      <c r="K155" s="1800"/>
      <c r="N155" s="2321"/>
      <c r="O155" s="2322" t="s">
        <v>326</v>
      </c>
      <c r="P155" s="2323">
        <v>2</v>
      </c>
      <c r="Q155" s="2324"/>
      <c r="R155" s="2325"/>
      <c r="S155" s="2325"/>
      <c r="T155" s="1798"/>
      <c r="U155" s="2334"/>
      <c r="V155" s="2335"/>
      <c r="X155" s="2329">
        <f t="shared" si="54"/>
        <v>0</v>
      </c>
      <c r="Y155" s="2847">
        <f t="shared" si="55"/>
        <v>0</v>
      </c>
      <c r="Z155" s="2338">
        <f t="shared" si="56"/>
        <v>0</v>
      </c>
      <c r="AA155" s="2338">
        <f t="shared" si="57"/>
        <v>0</v>
      </c>
      <c r="AB155" s="2161"/>
      <c r="AC155" s="2329">
        <f t="shared" si="58"/>
        <v>0</v>
      </c>
      <c r="AD155" s="2329">
        <f t="shared" si="58"/>
        <v>0</v>
      </c>
    </row>
    <row r="156" spans="1:30" s="1801" customFormat="1" ht="38.25" x14ac:dyDescent="0.2">
      <c r="A156" s="2321"/>
      <c r="B156" s="2330" t="s">
        <v>327</v>
      </c>
      <c r="C156" s="2325">
        <v>2</v>
      </c>
      <c r="D156" s="2324"/>
      <c r="E156" s="2325"/>
      <c r="F156" s="2325"/>
      <c r="G156" s="1798"/>
      <c r="H156" s="2325"/>
      <c r="I156" s="2815" t="s">
        <v>328</v>
      </c>
      <c r="J156" s="1800"/>
      <c r="K156" s="1800"/>
      <c r="N156" s="2321"/>
      <c r="O156" s="2330" t="s">
        <v>327</v>
      </c>
      <c r="P156" s="2325">
        <v>2</v>
      </c>
      <c r="Q156" s="2324"/>
      <c r="R156" s="2325"/>
      <c r="S156" s="2325"/>
      <c r="T156" s="1798"/>
      <c r="U156" s="2815" t="s">
        <v>328</v>
      </c>
      <c r="V156" s="2815"/>
      <c r="X156" s="2329">
        <f t="shared" si="54"/>
        <v>0</v>
      </c>
      <c r="Y156" s="2847">
        <f t="shared" si="55"/>
        <v>0</v>
      </c>
      <c r="Z156" s="2338">
        <f t="shared" si="56"/>
        <v>0</v>
      </c>
      <c r="AA156" s="2338">
        <f t="shared" si="57"/>
        <v>0</v>
      </c>
      <c r="AB156" s="2161"/>
      <c r="AC156" s="2329" t="e">
        <f t="shared" ref="AC156:AC161" si="59">U156-H156</f>
        <v>#VALUE!</v>
      </c>
      <c r="AD156" s="2329"/>
    </row>
    <row r="157" spans="1:30" s="1801" customFormat="1" ht="25.5" x14ac:dyDescent="0.2">
      <c r="A157" s="2331"/>
      <c r="B157" s="2216" t="s">
        <v>329</v>
      </c>
      <c r="C157" s="1821">
        <v>2</v>
      </c>
      <c r="D157" s="1642">
        <v>273600</v>
      </c>
      <c r="E157" s="339">
        <f>D157*C157*0.85</f>
        <v>465120</v>
      </c>
      <c r="F157" s="339">
        <f>D157*C157*0.15</f>
        <v>82080</v>
      </c>
      <c r="G157" s="1798"/>
      <c r="H157" s="339">
        <v>1</v>
      </c>
      <c r="I157" s="2333">
        <f>6500*12*J1</f>
        <v>296400</v>
      </c>
      <c r="J157" s="1800">
        <f>D157/12/3.8</f>
        <v>6000</v>
      </c>
      <c r="K157" s="1800"/>
      <c r="N157" s="2331"/>
      <c r="O157" s="2216" t="s">
        <v>329</v>
      </c>
      <c r="P157" s="2336">
        <f>12+9+12.5</f>
        <v>33.5</v>
      </c>
      <c r="Q157" s="2337">
        <f>D157/12</f>
        <v>22800</v>
      </c>
      <c r="R157" s="339">
        <f>Q157*P157*0.85</f>
        <v>649230</v>
      </c>
      <c r="S157" s="339">
        <f>Q157*P157*0.15</f>
        <v>114570</v>
      </c>
      <c r="T157" s="1798"/>
      <c r="U157" s="339">
        <v>1</v>
      </c>
      <c r="V157" s="2333">
        <f>6400*J1*19</f>
        <v>462080</v>
      </c>
      <c r="X157" s="2329">
        <f>P157-C157</f>
        <v>31.5</v>
      </c>
      <c r="Y157" s="2847">
        <f>Q157-D157/12</f>
        <v>0</v>
      </c>
      <c r="Z157" s="2338">
        <f t="shared" ref="Z157:Z164" si="60">R157-E157</f>
        <v>184110</v>
      </c>
      <c r="AA157" s="2338">
        <f t="shared" ref="AA157:AA164" si="61">S157-F157</f>
        <v>32490</v>
      </c>
      <c r="AB157" s="2161"/>
      <c r="AC157" s="2329">
        <f t="shared" si="59"/>
        <v>0</v>
      </c>
      <c r="AD157" s="2329">
        <f>V157-I157</f>
        <v>165680</v>
      </c>
    </row>
    <row r="158" spans="1:30" s="1801" customFormat="1" ht="25.5" x14ac:dyDescent="0.2">
      <c r="A158" s="2331"/>
      <c r="B158" s="2216" t="s">
        <v>330</v>
      </c>
      <c r="C158" s="1821">
        <f>2+2</f>
        <v>4</v>
      </c>
      <c r="D158" s="1642">
        <v>4560</v>
      </c>
      <c r="E158" s="339">
        <f>D158*C158*C156*0.85</f>
        <v>31008</v>
      </c>
      <c r="F158" s="339">
        <f>D158*C158*C156*0.15</f>
        <v>5472</v>
      </c>
      <c r="G158" s="1798"/>
      <c r="H158" s="339">
        <v>1</v>
      </c>
      <c r="I158" s="2333">
        <v>9120</v>
      </c>
      <c r="J158" s="1800">
        <f>D158/12</f>
        <v>380</v>
      </c>
      <c r="K158" s="1800"/>
      <c r="M158" s="2298"/>
      <c r="N158" s="2331"/>
      <c r="O158" s="2216" t="s">
        <v>330</v>
      </c>
      <c r="P158" s="1821">
        <v>11</v>
      </c>
      <c r="Q158" s="1642">
        <v>2471</v>
      </c>
      <c r="R158" s="339">
        <f>Q158*P158*0.85</f>
        <v>23103.85</v>
      </c>
      <c r="S158" s="339">
        <f>Q158*P158*0.15</f>
        <v>4077.1499999999996</v>
      </c>
      <c r="T158" s="1798"/>
      <c r="U158" s="339">
        <v>5</v>
      </c>
      <c r="V158" s="2333">
        <f>450*4*J1*U158</f>
        <v>34200</v>
      </c>
      <c r="X158" s="2329">
        <f>P158-C158</f>
        <v>7</v>
      </c>
      <c r="Y158" s="2847">
        <f>Q158-D158</f>
        <v>-2089</v>
      </c>
      <c r="Z158" s="2338">
        <f t="shared" si="60"/>
        <v>-7904.1500000000015</v>
      </c>
      <c r="AA158" s="2338">
        <f t="shared" si="61"/>
        <v>-1394.8500000000004</v>
      </c>
      <c r="AB158" s="2161"/>
      <c r="AC158" s="2329">
        <f t="shared" si="59"/>
        <v>4</v>
      </c>
      <c r="AD158" s="2329">
        <f>V158-I158</f>
        <v>25080</v>
      </c>
    </row>
    <row r="159" spans="1:30" s="1801" customFormat="1" ht="51" x14ac:dyDescent="0.2">
      <c r="A159" s="2331"/>
      <c r="B159" s="2216" t="s">
        <v>864</v>
      </c>
      <c r="C159" s="1821">
        <v>2</v>
      </c>
      <c r="D159" s="1642">
        <f>139180.7/0.85</f>
        <v>163742.00000000003</v>
      </c>
      <c r="E159" s="339">
        <f>D159*C159*0.85</f>
        <v>278361.40000000002</v>
      </c>
      <c r="F159" s="339">
        <f>D159*C159*0.15</f>
        <v>49122.600000000006</v>
      </c>
      <c r="G159" s="1798"/>
      <c r="H159" s="2333" t="s">
        <v>331</v>
      </c>
      <c r="I159" s="2333">
        <v>123956</v>
      </c>
      <c r="J159" s="1800"/>
      <c r="K159" s="1800"/>
      <c r="N159" s="2331"/>
      <c r="O159" s="2216" t="s">
        <v>864</v>
      </c>
      <c r="P159" s="1821">
        <v>2</v>
      </c>
      <c r="Q159" s="1642">
        <f>('[1]חמ"ע'!$R$161+'[1]חמ"ע'!$R$162+'[1]חמ"ע'!$R$164+'[1]חמ"ע'!$R$165+'[1]חמ"ע'!$R$167+'[1]חמ"ע'!$R$168)/0.85/2</f>
        <v>150997.75</v>
      </c>
      <c r="R159" s="339">
        <f>Q159*P159*0.85</f>
        <v>256696.17499999999</v>
      </c>
      <c r="S159" s="339">
        <f>Q159*P159*0.15</f>
        <v>45299.324999999997</v>
      </c>
      <c r="T159" s="1798"/>
      <c r="U159" s="339">
        <v>1</v>
      </c>
      <c r="V159" s="2333">
        <f>31407+1800*J1*19+7600</f>
        <v>168967</v>
      </c>
      <c r="X159" s="2329">
        <f>P159-C159</f>
        <v>0</v>
      </c>
      <c r="Y159" s="2847">
        <f>Q159-D159</f>
        <v>-12744.250000000029</v>
      </c>
      <c r="Z159" s="2338">
        <f t="shared" si="60"/>
        <v>-21665.225000000035</v>
      </c>
      <c r="AA159" s="2338">
        <f t="shared" si="61"/>
        <v>-3823.2750000000087</v>
      </c>
      <c r="AB159" s="2161"/>
      <c r="AC159" s="2329" t="e">
        <f>U159-#REF!</f>
        <v>#REF!</v>
      </c>
      <c r="AD159" s="2329"/>
    </row>
    <row r="160" spans="1:30" s="1801" customFormat="1" x14ac:dyDescent="0.2">
      <c r="A160" s="2331"/>
      <c r="B160" s="2216" t="s">
        <v>332</v>
      </c>
      <c r="C160" s="1821">
        <v>2</v>
      </c>
      <c r="D160" s="1642">
        <v>22800</v>
      </c>
      <c r="E160" s="339">
        <f>D160*C160*0.85</f>
        <v>38760</v>
      </c>
      <c r="F160" s="339">
        <f>D160*C160*0.15</f>
        <v>6840</v>
      </c>
      <c r="G160" s="1798"/>
      <c r="H160" s="339">
        <v>1</v>
      </c>
      <c r="I160" s="2333">
        <v>22800</v>
      </c>
      <c r="J160" s="1800"/>
      <c r="K160" s="1800"/>
      <c r="N160" s="2331"/>
      <c r="O160" s="2216" t="s">
        <v>332</v>
      </c>
      <c r="P160" s="1821">
        <f>14.5+19</f>
        <v>33.5</v>
      </c>
      <c r="Q160" s="1642">
        <f>(500)*J1</f>
        <v>1900</v>
      </c>
      <c r="R160" s="339">
        <f>Q160*P160*0.85</f>
        <v>54102.5</v>
      </c>
      <c r="S160" s="339">
        <f>Q160*P160*0.15</f>
        <v>9547.5</v>
      </c>
      <c r="T160" s="1798"/>
      <c r="U160" s="339">
        <v>1</v>
      </c>
      <c r="V160" s="2333">
        <f>500*19*J1</f>
        <v>36100</v>
      </c>
      <c r="X160" s="2329">
        <f>P160-C160*12</f>
        <v>9.5</v>
      </c>
      <c r="Y160" s="2847">
        <f>Q160-D160/12</f>
        <v>0</v>
      </c>
      <c r="Z160" s="2338">
        <f t="shared" si="60"/>
        <v>15342.5</v>
      </c>
      <c r="AA160" s="2338">
        <f t="shared" si="61"/>
        <v>2707.5</v>
      </c>
      <c r="AB160" s="2161"/>
      <c r="AC160" s="2329">
        <f t="shared" si="59"/>
        <v>0</v>
      </c>
      <c r="AD160" s="2329">
        <f>V160-I160</f>
        <v>13300</v>
      </c>
    </row>
    <row r="161" spans="1:35" s="1801" customFormat="1" ht="102" x14ac:dyDescent="0.2">
      <c r="A161" s="2331"/>
      <c r="B161" s="2216" t="s">
        <v>333</v>
      </c>
      <c r="C161" s="1821">
        <v>10</v>
      </c>
      <c r="D161" s="1642">
        <v>5016</v>
      </c>
      <c r="E161" s="339">
        <f>D161*C161*0.85</f>
        <v>42636</v>
      </c>
      <c r="F161" s="339">
        <f>D161*C161*0.15</f>
        <v>7524</v>
      </c>
      <c r="G161" s="1798"/>
      <c r="H161" s="339">
        <v>10</v>
      </c>
      <c r="I161" s="2333">
        <f>D161*H161</f>
        <v>50160</v>
      </c>
      <c r="J161" s="1800"/>
      <c r="K161" s="1800"/>
      <c r="N161" s="2331"/>
      <c r="O161" s="2216" t="s">
        <v>333</v>
      </c>
      <c r="P161" s="1821">
        <v>14</v>
      </c>
      <c r="Q161" s="1642">
        <v>5016</v>
      </c>
      <c r="R161" s="339">
        <f>Q161*P161*0.85</f>
        <v>59690.400000000001</v>
      </c>
      <c r="S161" s="339">
        <f>Q161*P161*0.15</f>
        <v>10533.6</v>
      </c>
      <c r="T161" s="1798"/>
      <c r="U161" s="2339">
        <v>16</v>
      </c>
      <c r="V161" s="2340">
        <f>U161*Q161</f>
        <v>80256</v>
      </c>
      <c r="X161" s="2329">
        <f t="shared" ref="X161:Y164" si="62">P161-C161</f>
        <v>4</v>
      </c>
      <c r="Y161" s="2338">
        <f t="shared" si="62"/>
        <v>0</v>
      </c>
      <c r="Z161" s="2338">
        <f t="shared" si="60"/>
        <v>17054.400000000001</v>
      </c>
      <c r="AA161" s="2338">
        <f t="shared" si="61"/>
        <v>3009.6000000000004</v>
      </c>
      <c r="AB161" s="2161"/>
      <c r="AC161" s="2329">
        <f t="shared" si="59"/>
        <v>6</v>
      </c>
      <c r="AD161" s="2329">
        <f>V161-I161</f>
        <v>30096</v>
      </c>
    </row>
    <row r="162" spans="1:35" s="1801" customFormat="1" ht="25.5" x14ac:dyDescent="0.2">
      <c r="A162" s="2341"/>
      <c r="B162" s="2322" t="s">
        <v>334</v>
      </c>
      <c r="C162" s="2699">
        <v>1</v>
      </c>
      <c r="D162" s="2343"/>
      <c r="E162" s="2342"/>
      <c r="F162" s="2342"/>
      <c r="G162" s="1798"/>
      <c r="H162" s="2342" t="s">
        <v>335</v>
      </c>
      <c r="I162" s="2344"/>
      <c r="J162" s="1800"/>
      <c r="K162" s="1800"/>
      <c r="N162" s="2341"/>
      <c r="O162" s="2322" t="s">
        <v>334</v>
      </c>
      <c r="P162" s="2699">
        <v>1</v>
      </c>
      <c r="Q162" s="2343"/>
      <c r="R162" s="2342"/>
      <c r="S162" s="2342"/>
      <c r="T162" s="1798"/>
      <c r="U162" s="2342" t="s">
        <v>335</v>
      </c>
      <c r="V162" s="2344"/>
      <c r="X162" s="2329">
        <f t="shared" si="62"/>
        <v>0</v>
      </c>
      <c r="Y162" s="2338">
        <f t="shared" si="62"/>
        <v>0</v>
      </c>
      <c r="Z162" s="2338">
        <f t="shared" si="60"/>
        <v>0</v>
      </c>
      <c r="AA162" s="2338">
        <f t="shared" si="61"/>
        <v>0</v>
      </c>
      <c r="AB162" s="2161"/>
      <c r="AC162" s="2329"/>
      <c r="AD162" s="2329">
        <f>V162-I162</f>
        <v>0</v>
      </c>
    </row>
    <row r="163" spans="1:35" s="1801" customFormat="1" ht="25.5" x14ac:dyDescent="0.2">
      <c r="A163" s="2331"/>
      <c r="B163" s="2345" t="s">
        <v>336</v>
      </c>
      <c r="C163" s="1821">
        <v>1</v>
      </c>
      <c r="D163" s="2346">
        <f>48000*J1</f>
        <v>182400</v>
      </c>
      <c r="E163" s="298"/>
      <c r="F163" s="298"/>
      <c r="G163" s="1798"/>
      <c r="H163" s="298">
        <v>1</v>
      </c>
      <c r="I163" s="2247">
        <v>638400</v>
      </c>
      <c r="J163" s="1800"/>
      <c r="K163" s="1800"/>
      <c r="N163" s="2331"/>
      <c r="O163" s="2345" t="s">
        <v>336</v>
      </c>
      <c r="P163" s="1821">
        <v>1</v>
      </c>
      <c r="Q163" s="2346">
        <f>48000*J1</f>
        <v>182400</v>
      </c>
      <c r="R163" s="298"/>
      <c r="S163" s="298"/>
      <c r="T163" s="1798"/>
      <c r="U163" s="298">
        <v>2</v>
      </c>
      <c r="V163" s="2247">
        <f>140000/12*19*J1+22000*J1</f>
        <v>925933.33333333326</v>
      </c>
      <c r="X163" s="2329">
        <f t="shared" si="62"/>
        <v>0</v>
      </c>
      <c r="Y163" s="2338">
        <f t="shared" si="62"/>
        <v>0</v>
      </c>
      <c r="Z163" s="2338">
        <f t="shared" si="60"/>
        <v>0</v>
      </c>
      <c r="AA163" s="2338">
        <f t="shared" si="61"/>
        <v>0</v>
      </c>
      <c r="AB163" s="2161"/>
      <c r="AC163" s="2329">
        <f>U163-H163</f>
        <v>1</v>
      </c>
      <c r="AD163" s="2329">
        <f>V163-I163</f>
        <v>287533.33333333326</v>
      </c>
    </row>
    <row r="164" spans="1:35" s="1801" customFormat="1" ht="51" x14ac:dyDescent="0.2">
      <c r="A164" s="2331"/>
      <c r="B164" s="2345" t="s">
        <v>337</v>
      </c>
      <c r="C164" s="1821">
        <v>10</v>
      </c>
      <c r="D164" s="1642">
        <f>(700+60*12+150*12+400)*J1</f>
        <v>13756</v>
      </c>
      <c r="E164" s="339">
        <f>D164*C164*0.85</f>
        <v>116926</v>
      </c>
      <c r="F164" s="339">
        <f>D164*C164*0.15</f>
        <v>20634</v>
      </c>
      <c r="G164" s="1798"/>
      <c r="H164" s="298"/>
      <c r="I164" s="2247"/>
      <c r="J164" s="1800"/>
      <c r="K164" s="1800"/>
      <c r="N164" s="2331"/>
      <c r="O164" s="2345" t="s">
        <v>633</v>
      </c>
      <c r="P164" s="1821">
        <v>16</v>
      </c>
      <c r="Q164" s="1642">
        <f>(700+60*12+148.33*12)*J1</f>
        <v>12159.848</v>
      </c>
      <c r="R164" s="339">
        <f>Q164*P164*0.85</f>
        <v>165373.93280000001</v>
      </c>
      <c r="S164" s="339">
        <f>Q164*P164*0.15</f>
        <v>29183.635200000001</v>
      </c>
      <c r="T164" s="1798"/>
      <c r="U164" s="298"/>
      <c r="V164" s="2247"/>
      <c r="X164" s="2329">
        <f t="shared" si="62"/>
        <v>6</v>
      </c>
      <c r="Y164" s="2338">
        <f t="shared" si="62"/>
        <v>-1596.152</v>
      </c>
      <c r="Z164" s="2338">
        <f t="shared" si="60"/>
        <v>48447.93280000001</v>
      </c>
      <c r="AA164" s="2338">
        <f t="shared" si="61"/>
        <v>8549.6352000000006</v>
      </c>
      <c r="AB164" s="2161"/>
      <c r="AC164" s="2329">
        <f>U164-H164</f>
        <v>0</v>
      </c>
      <c r="AD164" s="2329">
        <f>V164-I164</f>
        <v>0</v>
      </c>
    </row>
    <row r="165" spans="1:35" s="1801" customFormat="1" ht="13.5" customHeight="1" thickBot="1" x14ac:dyDescent="0.25">
      <c r="A165" s="2697"/>
      <c r="B165" s="2416" t="s">
        <v>13</v>
      </c>
      <c r="C165" s="2693"/>
      <c r="D165" s="2694"/>
      <c r="E165" s="2755">
        <f>SUM(E149:E164)</f>
        <v>1262477.8</v>
      </c>
      <c r="F165" s="2755">
        <f>SUM(F149:F164)</f>
        <v>222790.2</v>
      </c>
      <c r="G165" s="1798"/>
      <c r="H165" s="1798"/>
      <c r="I165" s="2757">
        <f>SUM(I149:I164)</f>
        <v>2111052</v>
      </c>
      <c r="J165" s="1800">
        <v>1417517.8</v>
      </c>
      <c r="K165" s="1800">
        <v>250150.2</v>
      </c>
      <c r="L165" s="1800">
        <v>1928652</v>
      </c>
      <c r="N165" s="2315"/>
      <c r="O165" s="1827" t="s">
        <v>13</v>
      </c>
      <c r="P165" s="1815"/>
      <c r="Q165" s="2316"/>
      <c r="R165" s="1810">
        <f>SUM(R149:R164)</f>
        <v>1619569.6578000002</v>
      </c>
      <c r="S165" s="1810">
        <f>SUM(S149:S164)</f>
        <v>285806.41019999998</v>
      </c>
      <c r="T165" s="1811"/>
      <c r="U165" s="1811"/>
      <c r="V165" s="2347">
        <f>SUM(V149:V164)</f>
        <v>3277164.333333333</v>
      </c>
      <c r="X165" s="2317"/>
      <c r="Y165" s="2317"/>
      <c r="Z165" s="2318">
        <f>SUM(Z150:Z164)</f>
        <v>357091.8578</v>
      </c>
      <c r="AA165" s="2318">
        <f>SUM(AA150:AA164)</f>
        <v>63016.210199999987</v>
      </c>
      <c r="AB165" s="2161"/>
      <c r="AC165" s="2318" t="e">
        <f>SUM(AC150:AC164)</f>
        <v>#VALUE!</v>
      </c>
      <c r="AD165" s="2318">
        <f>SUM(AD150:AD164)</f>
        <v>1121101.3333333333</v>
      </c>
    </row>
    <row r="166" spans="1:35" s="1718" customFormat="1" ht="13.5" customHeight="1" thickBot="1" x14ac:dyDescent="0.25">
      <c r="A166" s="2420"/>
      <c r="B166" s="2421" t="s">
        <v>338</v>
      </c>
      <c r="C166" s="2421"/>
      <c r="D166" s="2422"/>
      <c r="E166" s="2421"/>
      <c r="F166" s="2421"/>
      <c r="G166" s="2421"/>
      <c r="H166" s="2421"/>
      <c r="I166" s="2423"/>
      <c r="Q166" s="2184"/>
      <c r="R166" s="2275">
        <f>-R165+'[1]חמ"ע'!$R$173</f>
        <v>36725.09999999986</v>
      </c>
      <c r="S166" s="2275">
        <f>-S165+'[1]חמ"ע'!$S$173</f>
        <v>6480.9000000000233</v>
      </c>
      <c r="U166" s="2814"/>
      <c r="V166" s="2275">
        <f>-V165+'[1]חמ"ע'!$V$173</f>
        <v>0</v>
      </c>
      <c r="W166" s="1718">
        <f>V166</f>
        <v>0</v>
      </c>
      <c r="X166" s="1794"/>
      <c r="Y166" s="1794"/>
      <c r="Z166" s="1794"/>
      <c r="AA166" s="1794"/>
      <c r="AB166" s="1794"/>
      <c r="AC166" s="328"/>
      <c r="AD166" s="328"/>
    </row>
    <row r="167" spans="1:35" ht="13.5" customHeight="1" thickBot="1" x14ac:dyDescent="0.25">
      <c r="A167" s="321"/>
      <c r="C167" s="321"/>
      <c r="D167" s="2144">
        <f>E167/0.85</f>
        <v>0</v>
      </c>
      <c r="E167" s="2258">
        <f>E165-'[1]חמ"ע'!$E$173</f>
        <v>0</v>
      </c>
      <c r="F167" s="2258">
        <f>F165-'[1]חמ"ע'!$F$173</f>
        <v>0</v>
      </c>
      <c r="I167" s="620">
        <f>-I165+'[1]חמ"ע'!$I$173</f>
        <v>0</v>
      </c>
      <c r="Q167" s="1642"/>
      <c r="S167" s="2320"/>
      <c r="V167" s="620"/>
      <c r="X167" s="1794"/>
      <c r="Y167" s="1794"/>
      <c r="Z167" s="1794"/>
      <c r="AA167" s="1794"/>
      <c r="AB167" s="1794"/>
    </row>
    <row r="168" spans="1:35" s="2350" customFormat="1" ht="13.5" customHeight="1" x14ac:dyDescent="0.2">
      <c r="A168" s="2348">
        <v>4.3</v>
      </c>
      <c r="B168" s="2194" t="s">
        <v>339</v>
      </c>
      <c r="C168" s="3186" t="s">
        <v>104</v>
      </c>
      <c r="D168" s="3186"/>
      <c r="E168" s="3186"/>
      <c r="F168" s="2151"/>
      <c r="G168" s="2152"/>
      <c r="H168" s="3186" t="s">
        <v>88</v>
      </c>
      <c r="I168" s="3187"/>
      <c r="J168" s="2349"/>
      <c r="K168" s="2349"/>
      <c r="N168" s="2348">
        <v>4.3</v>
      </c>
      <c r="O168" s="2194" t="s">
        <v>339</v>
      </c>
      <c r="P168" s="3207" t="s">
        <v>812</v>
      </c>
      <c r="Q168" s="3208"/>
      <c r="R168" s="3209"/>
      <c r="S168" s="2151"/>
      <c r="T168" s="2152"/>
      <c r="U168" s="3186" t="s">
        <v>88</v>
      </c>
      <c r="V168" s="3187"/>
      <c r="X168" s="3188" t="s">
        <v>506</v>
      </c>
      <c r="Y168" s="3186"/>
      <c r="Z168" s="3186"/>
      <c r="AA168" s="2151"/>
      <c r="AB168" s="2153"/>
      <c r="AC168" s="3189" t="s">
        <v>88</v>
      </c>
      <c r="AD168" s="3190"/>
    </row>
    <row r="169" spans="1:35" s="321" customFormat="1" ht="38.25" x14ac:dyDescent="0.2">
      <c r="A169" s="2154"/>
      <c r="B169" s="2155" t="s">
        <v>89</v>
      </c>
      <c r="C169" s="2155" t="s">
        <v>54</v>
      </c>
      <c r="D169" s="2156" t="s">
        <v>91</v>
      </c>
      <c r="E169" s="2155" t="s">
        <v>92</v>
      </c>
      <c r="F169" s="2155" t="s">
        <v>106</v>
      </c>
      <c r="G169" s="357"/>
      <c r="H169" s="2196" t="s">
        <v>54</v>
      </c>
      <c r="I169" s="2319" t="s">
        <v>92</v>
      </c>
      <c r="J169" s="320"/>
      <c r="K169" s="320"/>
      <c r="N169" s="2154"/>
      <c r="O169" s="2155" t="s">
        <v>89</v>
      </c>
      <c r="P169" s="2155" t="s">
        <v>54</v>
      </c>
      <c r="Q169" s="2156" t="s">
        <v>91</v>
      </c>
      <c r="R169" s="2155" t="s">
        <v>92</v>
      </c>
      <c r="S169" s="2155" t="s">
        <v>106</v>
      </c>
      <c r="T169" s="357"/>
      <c r="U169" s="2196" t="s">
        <v>54</v>
      </c>
      <c r="V169" s="2319" t="s">
        <v>92</v>
      </c>
      <c r="X169" s="2154" t="s">
        <v>90</v>
      </c>
      <c r="Y169" s="2155" t="s">
        <v>91</v>
      </c>
      <c r="Z169" s="2158" t="s">
        <v>507</v>
      </c>
      <c r="AA169" s="2158"/>
      <c r="AB169" s="2161"/>
      <c r="AC169" s="2162" t="s">
        <v>54</v>
      </c>
      <c r="AD169" s="2163" t="s">
        <v>507</v>
      </c>
    </row>
    <row r="170" spans="1:35" s="1801" customFormat="1" ht="13.5" customHeight="1" x14ac:dyDescent="0.2">
      <c r="A170" s="1795"/>
      <c r="B170" s="356" t="s">
        <v>634</v>
      </c>
      <c r="C170" s="1796">
        <v>35</v>
      </c>
      <c r="D170" s="1797"/>
      <c r="E170" s="1796"/>
      <c r="F170" s="1796"/>
      <c r="G170" s="1798"/>
      <c r="H170" s="1796">
        <v>86</v>
      </c>
      <c r="I170" s="1799"/>
      <c r="J170" s="1800"/>
      <c r="K170" s="1800"/>
      <c r="N170" s="1795"/>
      <c r="O170" s="356" t="s">
        <v>634</v>
      </c>
      <c r="P170" s="1796">
        <v>35</v>
      </c>
      <c r="Q170" s="1797">
        <v>2394</v>
      </c>
      <c r="R170" s="1796"/>
      <c r="S170" s="1796"/>
      <c r="T170" s="1798"/>
      <c r="U170" s="1796">
        <v>86</v>
      </c>
      <c r="V170" s="1799"/>
      <c r="X170" s="1802">
        <f>P170-C170</f>
        <v>0</v>
      </c>
      <c r="Y170" s="1803">
        <f>Q170-D170</f>
        <v>2394</v>
      </c>
      <c r="Z170" s="1803">
        <f>R170-E170</f>
        <v>0</v>
      </c>
      <c r="AA170" s="1803">
        <f>S170-F170</f>
        <v>0</v>
      </c>
      <c r="AB170" s="1804">
        <f>T170-F170</f>
        <v>0</v>
      </c>
      <c r="AC170" s="1803">
        <f t="shared" ref="AC170:AD172" si="63">U170-H170</f>
        <v>0</v>
      </c>
      <c r="AD170" s="1803">
        <f t="shared" si="63"/>
        <v>0</v>
      </c>
    </row>
    <row r="171" spans="1:35" s="1801" customFormat="1" ht="13.5" customHeight="1" x14ac:dyDescent="0.2">
      <c r="A171" s="1795"/>
      <c r="B171" s="356" t="s">
        <v>636</v>
      </c>
      <c r="C171" s="1796">
        <v>35</v>
      </c>
      <c r="D171" s="1797">
        <f>(E171+F171)/C171</f>
        <v>29214.285714285714</v>
      </c>
      <c r="E171" s="1796">
        <v>869125</v>
      </c>
      <c r="F171" s="1796">
        <v>153375</v>
      </c>
      <c r="G171" s="1798"/>
      <c r="H171" s="1796">
        <v>86</v>
      </c>
      <c r="I171" s="1799">
        <v>2512000</v>
      </c>
      <c r="J171" s="1800">
        <f>D171/12</f>
        <v>2434.5238095238096</v>
      </c>
      <c r="K171" s="1800"/>
      <c r="N171" s="1795"/>
      <c r="O171" s="356" t="s">
        <v>340</v>
      </c>
      <c r="P171" s="1796">
        <v>575</v>
      </c>
      <c r="Q171" s="1805">
        <f>D171/12</f>
        <v>2434.5238095238096</v>
      </c>
      <c r="R171" s="339">
        <f>Q171*P171*0.85</f>
        <v>1189873.5119047619</v>
      </c>
      <c r="S171" s="339">
        <f>Q171*P171*0.15</f>
        <v>209977.67857142858</v>
      </c>
      <c r="T171" s="1798"/>
      <c r="U171" s="1796">
        <f>U170*19</f>
        <v>1634</v>
      </c>
      <c r="V171" s="1799">
        <f>U171*Q171</f>
        <v>3978011.9047619049</v>
      </c>
      <c r="X171" s="1802">
        <f>P171-C171*12</f>
        <v>155</v>
      </c>
      <c r="Y171" s="1803">
        <f>Q171-D171/12</f>
        <v>0</v>
      </c>
      <c r="Z171" s="1803">
        <f>R171-E171</f>
        <v>320748.51190476189</v>
      </c>
      <c r="AA171" s="1803">
        <f>S171-F171</f>
        <v>56602.67857142858</v>
      </c>
      <c r="AB171" s="1804">
        <f>T171-F171</f>
        <v>-153375</v>
      </c>
      <c r="AC171" s="1803">
        <f t="shared" si="63"/>
        <v>1548</v>
      </c>
      <c r="AD171" s="1803">
        <f t="shared" si="63"/>
        <v>1466011.9047619049</v>
      </c>
      <c r="AI171" s="1800"/>
    </row>
    <row r="172" spans="1:35" s="1801" customFormat="1" ht="13.5" customHeight="1" x14ac:dyDescent="0.2">
      <c r="A172" s="1795"/>
      <c r="B172" s="356" t="s">
        <v>341</v>
      </c>
      <c r="C172" s="1796">
        <f>C171</f>
        <v>35</v>
      </c>
      <c r="D172" s="1797">
        <f>(E172+F172)/C172</f>
        <v>14514.285714285714</v>
      </c>
      <c r="E172" s="1796">
        <v>431800</v>
      </c>
      <c r="F172" s="1796">
        <v>76200</v>
      </c>
      <c r="G172" s="1798"/>
      <c r="H172" s="1796">
        <v>86</v>
      </c>
      <c r="I172" s="1799">
        <v>1248000</v>
      </c>
      <c r="J172" s="1800">
        <f>D172/12</f>
        <v>1209.5238095238094</v>
      </c>
      <c r="K172" s="1800"/>
      <c r="N172" s="1795"/>
      <c r="O172" s="356" t="s">
        <v>341</v>
      </c>
      <c r="P172" s="1796">
        <v>505</v>
      </c>
      <c r="Q172" s="1805">
        <v>853.78</v>
      </c>
      <c r="R172" s="339">
        <f>Q172*P172*0.85</f>
        <v>366485.06499999994</v>
      </c>
      <c r="S172" s="339">
        <f>Q172*P172*0.15</f>
        <v>64673.834999999992</v>
      </c>
      <c r="T172" s="1798"/>
      <c r="U172" s="1796">
        <f>U170*19</f>
        <v>1634</v>
      </c>
      <c r="V172" s="1799">
        <f>14514.28/12*U172</f>
        <v>1976361.1266666667</v>
      </c>
      <c r="X172" s="1802">
        <f>P172-C172*12</f>
        <v>85</v>
      </c>
      <c r="Y172" s="1803">
        <f>Q172-D172/12</f>
        <v>-355.74380952380943</v>
      </c>
      <c r="Z172" s="1803">
        <f>R172-E172</f>
        <v>-65314.935000000056</v>
      </c>
      <c r="AA172" s="1803">
        <f>S172-F172</f>
        <v>-11526.165000000008</v>
      </c>
      <c r="AB172" s="1804">
        <f>T172-F172</f>
        <v>-76200</v>
      </c>
      <c r="AC172" s="1803">
        <f t="shared" si="63"/>
        <v>1548</v>
      </c>
      <c r="AD172" s="1803">
        <f t="shared" si="63"/>
        <v>728361.12666666671</v>
      </c>
    </row>
    <row r="173" spans="1:35" s="1814" customFormat="1" ht="13.5" customHeight="1" thickBot="1" x14ac:dyDescent="0.25">
      <c r="A173" s="1806"/>
      <c r="B173" s="1807" t="s">
        <v>13</v>
      </c>
      <c r="C173" s="1808"/>
      <c r="D173" s="1809"/>
      <c r="E173" s="1810">
        <f>SUM(E171:E172)</f>
        <v>1300925</v>
      </c>
      <c r="F173" s="1810">
        <f>SUM(F171:F172)</f>
        <v>229575</v>
      </c>
      <c r="G173" s="1811"/>
      <c r="H173" s="1808"/>
      <c r="I173" s="1812">
        <f>SUM(I171:I172)</f>
        <v>3760000</v>
      </c>
      <c r="J173" s="1813">
        <v>1300925</v>
      </c>
      <c r="K173" s="1813">
        <v>229575</v>
      </c>
      <c r="N173" s="1806"/>
      <c r="O173" s="1807" t="s">
        <v>13</v>
      </c>
      <c r="P173" s="1808"/>
      <c r="Q173" s="1809"/>
      <c r="R173" s="1810">
        <f>SUM(R171:R172)</f>
        <v>1556358.5769047618</v>
      </c>
      <c r="S173" s="1810">
        <f>SUM(S171:S172)</f>
        <v>274651.5135714286</v>
      </c>
      <c r="T173" s="1811"/>
      <c r="U173" s="1808"/>
      <c r="V173" s="1812">
        <f>SUM(V171:V172)</f>
        <v>5954373.0314285718</v>
      </c>
      <c r="X173" s="1815"/>
      <c r="Y173" s="1810"/>
      <c r="Z173" s="1810">
        <f>SUM(Z172:Z172)</f>
        <v>-65314.935000000056</v>
      </c>
      <c r="AA173" s="1810">
        <f>SUM(AA170:AA172)</f>
        <v>45076.513571428572</v>
      </c>
      <c r="AB173" s="1810">
        <f>SUM(AB170:AB172)</f>
        <v>-229575</v>
      </c>
      <c r="AC173" s="1810">
        <f>SUM(AC170:AC172)</f>
        <v>3096</v>
      </c>
      <c r="AD173" s="1810">
        <f>SUM(AD170:AD172)</f>
        <v>2194373.0314285718</v>
      </c>
    </row>
    <row r="174" spans="1:35" s="345" customFormat="1" ht="13.5" customHeight="1" x14ac:dyDescent="0.2">
      <c r="A174" s="346"/>
      <c r="B174" s="346" t="s">
        <v>342</v>
      </c>
      <c r="C174" s="346"/>
      <c r="D174" s="2148">
        <f>D171/12</f>
        <v>2434.5238095238096</v>
      </c>
      <c r="E174" s="346"/>
      <c r="F174" s="346">
        <f>D171/12</f>
        <v>2434.5238095238096</v>
      </c>
      <c r="G174" s="346"/>
      <c r="H174" s="346"/>
      <c r="I174" s="346"/>
      <c r="J174" s="346"/>
      <c r="K174" s="346"/>
      <c r="O174" s="345" t="s">
        <v>820</v>
      </c>
      <c r="Q174" s="2148"/>
      <c r="R174" s="2351"/>
      <c r="S174" s="2351"/>
      <c r="V174" s="2812">
        <f>-V173+'[3]פרוט (4)'!$Z$189</f>
        <v>-478345.03142857179</v>
      </c>
      <c r="X174" s="328"/>
      <c r="Y174" s="328"/>
      <c r="Z174" s="328"/>
      <c r="AA174" s="328"/>
      <c r="AB174" s="328"/>
      <c r="AC174" s="328"/>
      <c r="AD174" s="328"/>
    </row>
    <row r="175" spans="1:35" s="345" customFormat="1" ht="13.5" customHeight="1" x14ac:dyDescent="0.2">
      <c r="A175" s="346"/>
      <c r="B175" s="346"/>
      <c r="C175" s="346"/>
      <c r="D175" s="2148"/>
      <c r="E175" s="346"/>
      <c r="F175" s="346">
        <f>F174*0.85</f>
        <v>2069.3452380952381</v>
      </c>
      <c r="G175" s="346"/>
      <c r="H175" s="346"/>
      <c r="I175" s="346"/>
      <c r="J175" s="346"/>
      <c r="K175" s="346"/>
      <c r="Q175" s="2148"/>
      <c r="S175" s="2804"/>
      <c r="V175" s="440">
        <f>-V171+'[3]פרוט (4)'!$Z$187</f>
        <v>-477983.90476190485</v>
      </c>
      <c r="X175" s="328"/>
      <c r="Y175" s="328"/>
      <c r="Z175" s="328"/>
      <c r="AA175" s="328"/>
      <c r="AB175" s="328"/>
      <c r="AC175" s="328"/>
      <c r="AD175" s="328"/>
    </row>
    <row r="176" spans="1:35" s="1718" customFormat="1" ht="13.5" thickBot="1" x14ac:dyDescent="0.25">
      <c r="D176" s="2184"/>
      <c r="P176" s="2805"/>
      <c r="Q176" s="2806"/>
      <c r="R176" s="2805"/>
      <c r="S176" s="2805"/>
    </row>
    <row r="177" spans="1:30" s="2350" customFormat="1" ht="13.5" customHeight="1" x14ac:dyDescent="0.2">
      <c r="A177" s="2348">
        <v>5.0999999999999996</v>
      </c>
      <c r="B177" s="2365" t="s">
        <v>343</v>
      </c>
      <c r="C177" s="3186" t="s">
        <v>104</v>
      </c>
      <c r="D177" s="3186"/>
      <c r="E177" s="3186"/>
      <c r="F177" s="2151"/>
      <c r="G177" s="2152"/>
      <c r="H177" s="3186" t="s">
        <v>88</v>
      </c>
      <c r="I177" s="3187"/>
      <c r="J177" s="2349"/>
      <c r="K177" s="2349"/>
      <c r="N177" s="2348">
        <v>5.0999999999999996</v>
      </c>
      <c r="O177" s="2365" t="s">
        <v>343</v>
      </c>
      <c r="P177" s="3207" t="s">
        <v>812</v>
      </c>
      <c r="Q177" s="3208"/>
      <c r="R177" s="3209"/>
      <c r="S177" s="2151"/>
      <c r="T177" s="2152"/>
      <c r="U177" s="3186" t="s">
        <v>88</v>
      </c>
      <c r="V177" s="3187"/>
      <c r="X177" s="3188" t="s">
        <v>506</v>
      </c>
      <c r="Y177" s="3186"/>
      <c r="Z177" s="3186"/>
      <c r="AA177" s="2151"/>
      <c r="AB177" s="2153"/>
      <c r="AC177" s="3189" t="s">
        <v>88</v>
      </c>
      <c r="AD177" s="3190"/>
    </row>
    <row r="178" spans="1:30" s="321" customFormat="1" ht="38.25" x14ac:dyDescent="0.2">
      <c r="A178" s="2154"/>
      <c r="B178" s="2155" t="s">
        <v>89</v>
      </c>
      <c r="C178" s="2155" t="s">
        <v>54</v>
      </c>
      <c r="D178" s="2156" t="s">
        <v>91</v>
      </c>
      <c r="E178" s="2155" t="s">
        <v>92</v>
      </c>
      <c r="F178" s="2155" t="s">
        <v>106</v>
      </c>
      <c r="G178" s="357"/>
      <c r="H178" s="2196" t="s">
        <v>54</v>
      </c>
      <c r="I178" s="2319" t="s">
        <v>92</v>
      </c>
      <c r="J178" s="320"/>
      <c r="K178" s="320"/>
      <c r="N178" s="2154"/>
      <c r="O178" s="2155" t="s">
        <v>89</v>
      </c>
      <c r="P178" s="2155" t="s">
        <v>54</v>
      </c>
      <c r="Q178" s="2156" t="s">
        <v>91</v>
      </c>
      <c r="R178" s="2155" t="s">
        <v>92</v>
      </c>
      <c r="S178" s="2155" t="s">
        <v>106</v>
      </c>
      <c r="T178" s="357"/>
      <c r="U178" s="2196" t="s">
        <v>54</v>
      </c>
      <c r="V178" s="2319" t="s">
        <v>92</v>
      </c>
      <c r="X178" s="2154" t="s">
        <v>90</v>
      </c>
      <c r="Y178" s="2155" t="s">
        <v>91</v>
      </c>
      <c r="Z178" s="2158" t="s">
        <v>507</v>
      </c>
      <c r="AA178" s="2158"/>
      <c r="AB178" s="2161"/>
      <c r="AC178" s="2162" t="s">
        <v>54</v>
      </c>
      <c r="AD178" s="2163" t="s">
        <v>507</v>
      </c>
    </row>
    <row r="179" spans="1:30" ht="13.5" customHeight="1" x14ac:dyDescent="0.2">
      <c r="A179" s="295"/>
      <c r="B179" s="356" t="s">
        <v>635</v>
      </c>
      <c r="C179" s="296">
        <v>6</v>
      </c>
      <c r="D179" s="1646"/>
      <c r="E179" s="296"/>
      <c r="F179" s="296"/>
      <c r="G179" s="318"/>
      <c r="H179" s="296"/>
      <c r="I179" s="1783"/>
      <c r="N179" s="295"/>
      <c r="O179" s="2366" t="s">
        <v>635</v>
      </c>
      <c r="P179" s="2367">
        <v>1</v>
      </c>
      <c r="Q179" s="1646"/>
      <c r="R179" s="2249"/>
      <c r="S179" s="2249"/>
      <c r="T179" s="318"/>
      <c r="U179" s="296"/>
      <c r="V179" s="1783"/>
      <c r="X179" s="1704">
        <f>P179-C179</f>
        <v>-5</v>
      </c>
      <c r="Y179" s="1705">
        <f>Q179-D179</f>
        <v>0</v>
      </c>
      <c r="Z179" s="1705">
        <f>R179-E179</f>
        <v>0</v>
      </c>
      <c r="AA179" s="1705">
        <f>S179-F179</f>
        <v>0</v>
      </c>
      <c r="AB179" s="1706">
        <f>T179-F179</f>
        <v>0</v>
      </c>
      <c r="AC179" s="1705">
        <f>U179-H179</f>
        <v>0</v>
      </c>
      <c r="AD179" s="1705">
        <f>V179-I179</f>
        <v>0</v>
      </c>
    </row>
    <row r="180" spans="1:30" ht="13.5" customHeight="1" x14ac:dyDescent="0.2">
      <c r="A180" s="295"/>
      <c r="B180" s="356" t="s">
        <v>637</v>
      </c>
      <c r="C180" s="296">
        <v>6</v>
      </c>
      <c r="D180" s="1646">
        <f>(E180+F180)/C180</f>
        <v>84360</v>
      </c>
      <c r="E180" s="296">
        <v>430236</v>
      </c>
      <c r="F180" s="296">
        <v>75924</v>
      </c>
      <c r="G180" s="318"/>
      <c r="H180" s="296"/>
      <c r="I180" s="1783"/>
      <c r="J180" s="327">
        <f>D180/12</f>
        <v>7030</v>
      </c>
      <c r="N180" s="295"/>
      <c r="O180" s="356" t="s">
        <v>637</v>
      </c>
      <c r="P180" s="296">
        <v>15</v>
      </c>
      <c r="Q180" s="2368">
        <f>18000*J1/12</f>
        <v>5700</v>
      </c>
      <c r="R180" s="2249">
        <f t="shared" ref="R180:R185" si="64">Q180*P180*0.85</f>
        <v>72675</v>
      </c>
      <c r="S180" s="2249">
        <f t="shared" ref="S180:S185" si="65">Q180*P180*0.15</f>
        <v>12825</v>
      </c>
      <c r="T180" s="318"/>
      <c r="U180" s="296"/>
      <c r="V180" s="1783"/>
      <c r="X180" s="1704">
        <f>P180-C180*12</f>
        <v>-57</v>
      </c>
      <c r="Y180" s="1705">
        <f>Q180-D180/12</f>
        <v>-1330</v>
      </c>
      <c r="Z180" s="1705">
        <f t="shared" ref="Z180:Z186" si="66">R180-E180</f>
        <v>-357561</v>
      </c>
      <c r="AA180" s="1705">
        <f t="shared" ref="AA180:AA186" si="67">S180-F180</f>
        <v>-63099</v>
      </c>
      <c r="AB180" s="1706">
        <f t="shared" ref="AB180:AB186" si="68">T180-F180</f>
        <v>-75924</v>
      </c>
      <c r="AC180" s="1705">
        <f t="shared" ref="AC180:AC186" si="69">U180-H180</f>
        <v>0</v>
      </c>
      <c r="AD180" s="1705">
        <f t="shared" ref="AD180:AD186" si="70">V180-I180</f>
        <v>0</v>
      </c>
    </row>
    <row r="181" spans="1:30" ht="13.5" customHeight="1" x14ac:dyDescent="0.2">
      <c r="A181" s="295"/>
      <c r="B181" s="356" t="s">
        <v>341</v>
      </c>
      <c r="C181" s="296">
        <v>6</v>
      </c>
      <c r="D181" s="1646">
        <f>(E181+F181)/C181</f>
        <v>14666.666666666666</v>
      </c>
      <c r="E181" s="296">
        <v>74800</v>
      </c>
      <c r="F181" s="296">
        <v>13200</v>
      </c>
      <c r="G181" s="318"/>
      <c r="H181" s="296"/>
      <c r="I181" s="1783"/>
      <c r="J181" s="327">
        <f>D181/12</f>
        <v>1222.2222222222222</v>
      </c>
      <c r="N181" s="295"/>
      <c r="O181" s="356" t="s">
        <v>341</v>
      </c>
      <c r="P181" s="296">
        <v>15</v>
      </c>
      <c r="Q181" s="2368">
        <v>1222.25</v>
      </c>
      <c r="R181" s="2249">
        <f t="shared" si="64"/>
        <v>15583.6875</v>
      </c>
      <c r="S181" s="2249">
        <f t="shared" si="65"/>
        <v>2750.0625</v>
      </c>
      <c r="T181" s="318"/>
      <c r="U181" s="296"/>
      <c r="V181" s="1783"/>
      <c r="X181" s="1704">
        <f>P181-C181*12</f>
        <v>-57</v>
      </c>
      <c r="Y181" s="1705">
        <f>Q181-D181/12</f>
        <v>2.7777777777828305E-2</v>
      </c>
      <c r="Z181" s="1705">
        <f t="shared" si="66"/>
        <v>-59216.3125</v>
      </c>
      <c r="AA181" s="1705">
        <f t="shared" si="67"/>
        <v>-10449.9375</v>
      </c>
      <c r="AB181" s="1706">
        <f t="shared" si="68"/>
        <v>-13200</v>
      </c>
      <c r="AC181" s="1705">
        <f t="shared" si="69"/>
        <v>0</v>
      </c>
      <c r="AD181" s="1705">
        <f t="shared" si="70"/>
        <v>0</v>
      </c>
    </row>
    <row r="182" spans="1:30" ht="13.5" customHeight="1" x14ac:dyDescent="0.2">
      <c r="A182" s="604"/>
      <c r="B182" s="2369"/>
      <c r="C182" s="605"/>
      <c r="D182" s="1824"/>
      <c r="E182" s="605"/>
      <c r="F182" s="605"/>
      <c r="G182" s="1825"/>
      <c r="H182" s="605"/>
      <c r="I182" s="2370"/>
      <c r="N182" s="604"/>
      <c r="O182" s="2371" t="s">
        <v>640</v>
      </c>
      <c r="P182" s="2372">
        <v>2</v>
      </c>
      <c r="Q182" s="2368"/>
      <c r="R182" s="2373">
        <f t="shared" si="64"/>
        <v>0</v>
      </c>
      <c r="S182" s="2373">
        <f t="shared" si="65"/>
        <v>0</v>
      </c>
      <c r="T182" s="1825"/>
      <c r="U182" s="605"/>
      <c r="V182" s="2370"/>
      <c r="X182" s="1704">
        <f t="shared" ref="X182:Y186" si="71">P182-C182</f>
        <v>2</v>
      </c>
      <c r="Y182" s="1705">
        <f t="shared" si="71"/>
        <v>0</v>
      </c>
      <c r="Z182" s="1705">
        <f t="shared" si="66"/>
        <v>0</v>
      </c>
      <c r="AA182" s="1705">
        <f t="shared" si="67"/>
        <v>0</v>
      </c>
      <c r="AB182" s="1706">
        <f t="shared" si="68"/>
        <v>0</v>
      </c>
      <c r="AC182" s="1705">
        <f t="shared" si="69"/>
        <v>0</v>
      </c>
      <c r="AD182" s="1705">
        <f t="shared" si="70"/>
        <v>0</v>
      </c>
    </row>
    <row r="183" spans="1:30" ht="13.5" customHeight="1" x14ac:dyDescent="0.2">
      <c r="A183" s="604"/>
      <c r="B183" s="2369"/>
      <c r="C183" s="605"/>
      <c r="D183" s="1824"/>
      <c r="E183" s="605"/>
      <c r="F183" s="605"/>
      <c r="G183" s="1825"/>
      <c r="H183" s="605"/>
      <c r="I183" s="2370"/>
      <c r="N183" s="604"/>
      <c r="O183" s="2374" t="s">
        <v>638</v>
      </c>
      <c r="P183" s="605">
        <f>P182*7</f>
        <v>14</v>
      </c>
      <c r="Q183" s="2368">
        <f>55000*J1/12</f>
        <v>17416.666666666668</v>
      </c>
      <c r="R183" s="2375">
        <f t="shared" si="64"/>
        <v>207258.33333333334</v>
      </c>
      <c r="S183" s="2375">
        <f t="shared" si="65"/>
        <v>36575</v>
      </c>
      <c r="T183" s="1825"/>
      <c r="U183" s="605"/>
      <c r="V183" s="2370"/>
      <c r="X183" s="1704">
        <f t="shared" si="71"/>
        <v>14</v>
      </c>
      <c r="Y183" s="1705">
        <f t="shared" si="71"/>
        <v>17416.666666666668</v>
      </c>
      <c r="Z183" s="1705">
        <f t="shared" si="66"/>
        <v>207258.33333333334</v>
      </c>
      <c r="AA183" s="1705">
        <f t="shared" si="67"/>
        <v>36575</v>
      </c>
      <c r="AB183" s="1706">
        <f t="shared" si="68"/>
        <v>0</v>
      </c>
      <c r="AC183" s="1705">
        <f t="shared" si="69"/>
        <v>0</v>
      </c>
      <c r="AD183" s="1705">
        <f t="shared" si="70"/>
        <v>0</v>
      </c>
    </row>
    <row r="184" spans="1:30" ht="38.25" x14ac:dyDescent="0.2">
      <c r="A184" s="604"/>
      <c r="B184" s="2369"/>
      <c r="C184" s="605"/>
      <c r="D184" s="1824"/>
      <c r="E184" s="605"/>
      <c r="F184" s="605"/>
      <c r="G184" s="1825"/>
      <c r="H184" s="605"/>
      <c r="I184" s="2370"/>
      <c r="N184" s="604"/>
      <c r="O184" s="2944" t="s">
        <v>899</v>
      </c>
      <c r="P184" s="605">
        <f>P182*7</f>
        <v>14</v>
      </c>
      <c r="Q184" s="2368">
        <f>(700+60*12+150*12+400)*J1</f>
        <v>13756</v>
      </c>
      <c r="R184" s="2375">
        <f t="shared" si="64"/>
        <v>163696.4</v>
      </c>
      <c r="S184" s="2375">
        <f t="shared" si="65"/>
        <v>28887.599999999999</v>
      </c>
      <c r="T184" s="1825"/>
      <c r="U184" s="605"/>
      <c r="V184" s="2370"/>
      <c r="X184" s="1704">
        <f t="shared" si="71"/>
        <v>14</v>
      </c>
      <c r="Y184" s="1705">
        <f t="shared" si="71"/>
        <v>13756</v>
      </c>
      <c r="Z184" s="1705">
        <f t="shared" si="66"/>
        <v>163696.4</v>
      </c>
      <c r="AA184" s="1705">
        <f t="shared" si="67"/>
        <v>28887.599999999999</v>
      </c>
      <c r="AB184" s="1706">
        <f t="shared" si="68"/>
        <v>0</v>
      </c>
      <c r="AC184" s="1705">
        <f t="shared" si="69"/>
        <v>0</v>
      </c>
      <c r="AD184" s="1705">
        <f t="shared" si="70"/>
        <v>0</v>
      </c>
    </row>
    <row r="185" spans="1:30" ht="13.5" customHeight="1" x14ac:dyDescent="0.2">
      <c r="A185" s="604"/>
      <c r="B185" s="2369"/>
      <c r="C185" s="605"/>
      <c r="D185" s="1824"/>
      <c r="E185" s="605"/>
      <c r="F185" s="605"/>
      <c r="G185" s="1825"/>
      <c r="H185" s="605"/>
      <c r="I185" s="2370"/>
      <c r="N185" s="604"/>
      <c r="O185" s="2374" t="s">
        <v>639</v>
      </c>
      <c r="P185" s="605">
        <f>P182*7</f>
        <v>14</v>
      </c>
      <c r="Q185" s="2368">
        <f>15000/12</f>
        <v>1250</v>
      </c>
      <c r="R185" s="2375">
        <f t="shared" si="64"/>
        <v>14875</v>
      </c>
      <c r="S185" s="2375">
        <f t="shared" si="65"/>
        <v>2625</v>
      </c>
      <c r="T185" s="1825"/>
      <c r="U185" s="605"/>
      <c r="V185" s="2370"/>
      <c r="X185" s="1704">
        <f t="shared" si="71"/>
        <v>14</v>
      </c>
      <c r="Y185" s="1705">
        <f t="shared" si="71"/>
        <v>1250</v>
      </c>
      <c r="Z185" s="1705">
        <f t="shared" si="66"/>
        <v>14875</v>
      </c>
      <c r="AA185" s="1705">
        <f t="shared" si="67"/>
        <v>2625</v>
      </c>
      <c r="AB185" s="1706">
        <f t="shared" si="68"/>
        <v>0</v>
      </c>
      <c r="AC185" s="1705">
        <f t="shared" si="69"/>
        <v>0</v>
      </c>
      <c r="AD185" s="1705">
        <f t="shared" si="70"/>
        <v>0</v>
      </c>
    </row>
    <row r="186" spans="1:30" ht="13.5" customHeight="1" x14ac:dyDescent="0.2">
      <c r="A186" s="604"/>
      <c r="B186" s="2369"/>
      <c r="C186" s="605"/>
      <c r="D186" s="1824"/>
      <c r="E186" s="605"/>
      <c r="F186" s="605"/>
      <c r="G186" s="1825"/>
      <c r="H186" s="605"/>
      <c r="I186" s="2370"/>
      <c r="N186" s="604"/>
      <c r="O186" s="2369"/>
      <c r="P186" s="605"/>
      <c r="Q186" s="1824"/>
      <c r="R186" s="605"/>
      <c r="S186" s="605"/>
      <c r="T186" s="1825"/>
      <c r="U186" s="605"/>
      <c r="V186" s="2370"/>
      <c r="X186" s="1704">
        <f t="shared" si="71"/>
        <v>0</v>
      </c>
      <c r="Y186" s="1705">
        <f t="shared" si="71"/>
        <v>0</v>
      </c>
      <c r="Z186" s="1705">
        <f t="shared" si="66"/>
        <v>0</v>
      </c>
      <c r="AA186" s="1705">
        <f t="shared" si="67"/>
        <v>0</v>
      </c>
      <c r="AB186" s="1706">
        <f t="shared" si="68"/>
        <v>0</v>
      </c>
      <c r="AC186" s="1705">
        <f t="shared" si="69"/>
        <v>0</v>
      </c>
      <c r="AD186" s="1705">
        <f t="shared" si="70"/>
        <v>0</v>
      </c>
    </row>
    <row r="187" spans="1:30" s="321" customFormat="1" ht="13.5" customHeight="1" thickBot="1" x14ac:dyDescent="0.25">
      <c r="A187" s="1785"/>
      <c r="B187" s="1786" t="s">
        <v>13</v>
      </c>
      <c r="C187" s="1787"/>
      <c r="D187" s="1788"/>
      <c r="E187" s="1789">
        <f>SUM(E180:E181)</f>
        <v>505036</v>
      </c>
      <c r="F187" s="1789">
        <f>SUM(F180:F181)</f>
        <v>89124</v>
      </c>
      <c r="G187" s="1790"/>
      <c r="H187" s="1787"/>
      <c r="I187" s="2376">
        <v>0</v>
      </c>
      <c r="J187" s="320">
        <v>505036</v>
      </c>
      <c r="K187" s="320">
        <v>89124</v>
      </c>
      <c r="N187" s="1785"/>
      <c r="O187" s="1786" t="s">
        <v>13</v>
      </c>
      <c r="P187" s="1787"/>
      <c r="Q187" s="1788"/>
      <c r="R187" s="1789">
        <f>SUM(R180:R185)</f>
        <v>474088.4208333334</v>
      </c>
      <c r="S187" s="1789">
        <f>SUM(S180:S185)</f>
        <v>83662.662500000006</v>
      </c>
      <c r="T187" s="1789">
        <f>SUM(T180:T185)</f>
        <v>0</v>
      </c>
      <c r="U187" s="1789">
        <f>SUM(U180:U185)</f>
        <v>0</v>
      </c>
      <c r="V187" s="1789">
        <f>SUM(V180:V185)</f>
        <v>0</v>
      </c>
      <c r="X187" s="1792"/>
      <c r="Y187" s="1789"/>
      <c r="Z187" s="1789">
        <f>SUM(Z180:Z186)</f>
        <v>-30947.579166666663</v>
      </c>
      <c r="AA187" s="1789">
        <f>SUM(AA179:AA186)</f>
        <v>-5461.3375000000015</v>
      </c>
      <c r="AB187" s="1789">
        <f>SUM(AB179:AB186)</f>
        <v>-89124</v>
      </c>
      <c r="AC187" s="1789">
        <f>SUM(AC179:AC186)</f>
        <v>0</v>
      </c>
      <c r="AD187" s="1789">
        <f>SUM(AD179:AD186)</f>
        <v>0</v>
      </c>
    </row>
    <row r="188" spans="1:30" ht="13.5" customHeight="1" x14ac:dyDescent="0.2">
      <c r="A188" s="321"/>
      <c r="C188" s="321"/>
      <c r="E188" s="2258"/>
      <c r="F188" s="2258"/>
      <c r="R188" s="620"/>
      <c r="S188" s="620"/>
      <c r="X188" s="2350"/>
      <c r="Y188" s="2350"/>
      <c r="Z188" s="2350"/>
      <c r="AA188" s="2350"/>
      <c r="AB188" s="2350"/>
      <c r="AC188" s="2350"/>
      <c r="AD188" s="2350"/>
    </row>
    <row r="189" spans="1:30" ht="13.5" customHeight="1" thickBot="1" x14ac:dyDescent="0.25">
      <c r="A189" s="321"/>
      <c r="C189" s="321"/>
      <c r="E189" s="2258"/>
      <c r="F189" s="2258"/>
      <c r="S189" s="2320"/>
      <c r="X189" s="2350"/>
      <c r="Y189" s="2350"/>
      <c r="Z189" s="2350"/>
      <c r="AA189" s="2350"/>
      <c r="AB189" s="2350"/>
      <c r="AC189" s="2350"/>
      <c r="AD189" s="2350"/>
    </row>
    <row r="190" spans="1:30" ht="13.5" customHeight="1" x14ac:dyDescent="0.2">
      <c r="A190" s="2150">
        <v>5.2</v>
      </c>
      <c r="B190" s="2365" t="s">
        <v>344</v>
      </c>
      <c r="C190" s="3186" t="s">
        <v>104</v>
      </c>
      <c r="D190" s="3186"/>
      <c r="E190" s="3186"/>
      <c r="F190" s="2151"/>
      <c r="G190" s="2152"/>
      <c r="H190" s="2377"/>
      <c r="I190" s="2378"/>
      <c r="N190" s="2150">
        <v>5.2</v>
      </c>
      <c r="O190" s="2365" t="s">
        <v>344</v>
      </c>
      <c r="P190" s="3207" t="s">
        <v>812</v>
      </c>
      <c r="Q190" s="3208"/>
      <c r="R190" s="3209"/>
      <c r="S190" s="2151"/>
      <c r="T190" s="2152"/>
      <c r="U190" s="2377"/>
      <c r="V190" s="2378"/>
      <c r="X190" s="3188" t="s">
        <v>506</v>
      </c>
      <c r="Y190" s="3186"/>
      <c r="Z190" s="3186"/>
      <c r="AA190" s="2151"/>
      <c r="AB190" s="2153"/>
      <c r="AC190" s="3189" t="s">
        <v>88</v>
      </c>
      <c r="AD190" s="3190"/>
    </row>
    <row r="191" spans="1:30" s="321" customFormat="1" ht="25.5" x14ac:dyDescent="0.2">
      <c r="A191" s="2154"/>
      <c r="B191" s="2155" t="s">
        <v>89</v>
      </c>
      <c r="C191" s="2155" t="s">
        <v>54</v>
      </c>
      <c r="D191" s="2156" t="s">
        <v>91</v>
      </c>
      <c r="E191" s="2155" t="s">
        <v>92</v>
      </c>
      <c r="F191" s="2155"/>
      <c r="G191" s="357"/>
      <c r="H191" s="2196" t="s">
        <v>54</v>
      </c>
      <c r="I191" s="2319" t="s">
        <v>92</v>
      </c>
      <c r="J191" s="320"/>
      <c r="K191" s="320"/>
      <c r="N191" s="2154"/>
      <c r="O191" s="2155" t="s">
        <v>89</v>
      </c>
      <c r="P191" s="2155" t="s">
        <v>54</v>
      </c>
      <c r="Q191" s="2156" t="s">
        <v>91</v>
      </c>
      <c r="R191" s="2155" t="s">
        <v>92</v>
      </c>
      <c r="S191" s="2155"/>
      <c r="T191" s="357"/>
      <c r="U191" s="2196" t="s">
        <v>54</v>
      </c>
      <c r="V191" s="2319" t="s">
        <v>92</v>
      </c>
      <c r="X191" s="2154" t="s">
        <v>90</v>
      </c>
      <c r="Y191" s="2155" t="s">
        <v>91</v>
      </c>
      <c r="Z191" s="2158" t="s">
        <v>507</v>
      </c>
      <c r="AA191" s="2158"/>
      <c r="AB191" s="2161"/>
      <c r="AC191" s="2162" t="s">
        <v>54</v>
      </c>
      <c r="AD191" s="2163" t="s">
        <v>507</v>
      </c>
    </row>
    <row r="192" spans="1:30" s="321" customFormat="1" ht="13.5" customHeight="1" x14ac:dyDescent="0.2">
      <c r="A192" s="2379"/>
      <c r="B192" s="315" t="s">
        <v>345</v>
      </c>
      <c r="C192" s="2380">
        <v>12</v>
      </c>
      <c r="D192" s="2164"/>
      <c r="E192" s="2165"/>
      <c r="F192" s="2165"/>
      <c r="G192" s="318"/>
      <c r="H192" s="2381"/>
      <c r="I192" s="2382"/>
      <c r="J192" s="320"/>
      <c r="K192" s="320"/>
      <c r="N192" s="2379"/>
      <c r="O192" s="315" t="s">
        <v>345</v>
      </c>
      <c r="P192" s="2380">
        <v>12</v>
      </c>
      <c r="Q192" s="2164"/>
      <c r="R192" s="2165"/>
      <c r="S192" s="2165"/>
      <c r="T192" s="318"/>
      <c r="U192" s="2381"/>
      <c r="V192" s="2382"/>
      <c r="X192" s="1704">
        <f>P192-C192</f>
        <v>0</v>
      </c>
      <c r="Y192" s="1705">
        <f t="shared" ref="Y192:Y198" si="72">Q192-D192</f>
        <v>0</v>
      </c>
      <c r="Z192" s="1705">
        <f t="shared" ref="Z192:Z198" si="73">R192-E192</f>
        <v>0</v>
      </c>
      <c r="AA192" s="1705">
        <f t="shared" ref="AA192:AA198" si="74">S192-F192</f>
        <v>0</v>
      </c>
      <c r="AB192" s="1706">
        <f t="shared" ref="AB192:AB198" si="75">T192-F192</f>
        <v>0</v>
      </c>
      <c r="AC192" s="1705">
        <f t="shared" ref="AC192:AC198" si="76">U192-H192</f>
        <v>0</v>
      </c>
      <c r="AD192" s="1705">
        <f t="shared" ref="AD192:AD198" si="77">V192-I192</f>
        <v>0</v>
      </c>
    </row>
    <row r="193" spans="1:30" x14ac:dyDescent="0.2">
      <c r="A193" s="2383"/>
      <c r="B193" s="315" t="s">
        <v>346</v>
      </c>
      <c r="C193" s="2384">
        <v>2.5</v>
      </c>
      <c r="D193" s="1645"/>
      <c r="E193" s="1715"/>
      <c r="F193" s="1715"/>
      <c r="G193" s="318"/>
      <c r="H193" s="2385"/>
      <c r="I193" s="2386"/>
      <c r="N193" s="2383"/>
      <c r="O193" s="315" t="s">
        <v>346</v>
      </c>
      <c r="P193" s="2384">
        <v>2.5</v>
      </c>
      <c r="Q193" s="1645"/>
      <c r="R193" s="1715"/>
      <c r="S193" s="1715"/>
      <c r="T193" s="318"/>
      <c r="U193" s="2385"/>
      <c r="V193" s="2386"/>
      <c r="X193" s="1704">
        <f t="shared" ref="X193:X198" si="78">P193-C193</f>
        <v>0</v>
      </c>
      <c r="Y193" s="1705">
        <f t="shared" si="72"/>
        <v>0</v>
      </c>
      <c r="Z193" s="1705">
        <f t="shared" si="73"/>
        <v>0</v>
      </c>
      <c r="AA193" s="1705">
        <f t="shared" si="74"/>
        <v>0</v>
      </c>
      <c r="AB193" s="1706">
        <f t="shared" si="75"/>
        <v>0</v>
      </c>
      <c r="AC193" s="1705">
        <f t="shared" si="76"/>
        <v>0</v>
      </c>
      <c r="AD193" s="1705">
        <f t="shared" si="77"/>
        <v>0</v>
      </c>
    </row>
    <row r="194" spans="1:30" x14ac:dyDescent="0.2">
      <c r="A194" s="2383"/>
      <c r="B194" s="315" t="s">
        <v>347</v>
      </c>
      <c r="C194" s="2384">
        <v>4</v>
      </c>
      <c r="D194" s="1640"/>
      <c r="E194" s="2387"/>
      <c r="F194" s="2387"/>
      <c r="G194" s="318"/>
      <c r="H194" s="2385"/>
      <c r="I194" s="2386"/>
      <c r="N194" s="2383"/>
      <c r="O194" s="315" t="s">
        <v>347</v>
      </c>
      <c r="P194" s="2384">
        <v>4</v>
      </c>
      <c r="Q194" s="1640"/>
      <c r="R194" s="2387"/>
      <c r="S194" s="2387"/>
      <c r="T194" s="318"/>
      <c r="U194" s="2385"/>
      <c r="V194" s="2386"/>
      <c r="X194" s="1704">
        <f t="shared" si="78"/>
        <v>0</v>
      </c>
      <c r="Y194" s="1705">
        <f t="shared" si="72"/>
        <v>0</v>
      </c>
      <c r="Z194" s="1705">
        <f t="shared" si="73"/>
        <v>0</v>
      </c>
      <c r="AA194" s="1705">
        <f t="shared" si="74"/>
        <v>0</v>
      </c>
      <c r="AB194" s="1706">
        <f t="shared" si="75"/>
        <v>0</v>
      </c>
      <c r="AC194" s="1705">
        <f t="shared" si="76"/>
        <v>0</v>
      </c>
      <c r="AD194" s="1705">
        <f t="shared" si="77"/>
        <v>0</v>
      </c>
    </row>
    <row r="195" spans="1:30" x14ac:dyDescent="0.2">
      <c r="A195" s="2383"/>
      <c r="B195" s="315" t="s">
        <v>348</v>
      </c>
      <c r="C195" s="2384">
        <f>C193*C192</f>
        <v>30</v>
      </c>
      <c r="D195" s="1640"/>
      <c r="E195" s="2387"/>
      <c r="F195" s="2387"/>
      <c r="G195" s="318"/>
      <c r="H195" s="2385"/>
      <c r="I195" s="2386"/>
      <c r="N195" s="2383"/>
      <c r="O195" s="315" t="s">
        <v>348</v>
      </c>
      <c r="P195" s="2384">
        <f>P193*P192</f>
        <v>30</v>
      </c>
      <c r="Q195" s="1640"/>
      <c r="R195" s="2387"/>
      <c r="S195" s="2387"/>
      <c r="T195" s="318"/>
      <c r="U195" s="2385"/>
      <c r="V195" s="2386"/>
      <c r="X195" s="1704">
        <f t="shared" si="78"/>
        <v>0</v>
      </c>
      <c r="Y195" s="1705">
        <f t="shared" si="72"/>
        <v>0</v>
      </c>
      <c r="Z195" s="1705">
        <f t="shared" si="73"/>
        <v>0</v>
      </c>
      <c r="AA195" s="1705">
        <f t="shared" si="74"/>
        <v>0</v>
      </c>
      <c r="AB195" s="1706">
        <f t="shared" si="75"/>
        <v>0</v>
      </c>
      <c r="AC195" s="1705">
        <f t="shared" si="76"/>
        <v>0</v>
      </c>
      <c r="AD195" s="1705">
        <f t="shared" si="77"/>
        <v>0</v>
      </c>
    </row>
    <row r="196" spans="1:30" x14ac:dyDescent="0.2">
      <c r="A196" s="2383"/>
      <c r="B196" s="315" t="s">
        <v>349</v>
      </c>
      <c r="C196" s="2384">
        <v>15</v>
      </c>
      <c r="D196" s="1640"/>
      <c r="E196" s="2387"/>
      <c r="F196" s="2387"/>
      <c r="G196" s="318"/>
      <c r="H196" s="2385"/>
      <c r="I196" s="2386"/>
      <c r="N196" s="2383"/>
      <c r="O196" s="315" t="s">
        <v>349</v>
      </c>
      <c r="P196" s="2384">
        <v>15</v>
      </c>
      <c r="Q196" s="1640"/>
      <c r="R196" s="2387"/>
      <c r="S196" s="2387"/>
      <c r="T196" s="318"/>
      <c r="U196" s="2385"/>
      <c r="V196" s="2386"/>
      <c r="X196" s="1704">
        <f t="shared" si="78"/>
        <v>0</v>
      </c>
      <c r="Y196" s="1705">
        <f t="shared" si="72"/>
        <v>0</v>
      </c>
      <c r="Z196" s="1705">
        <f t="shared" si="73"/>
        <v>0</v>
      </c>
      <c r="AA196" s="1705">
        <f t="shared" si="74"/>
        <v>0</v>
      </c>
      <c r="AB196" s="1706">
        <f t="shared" si="75"/>
        <v>0</v>
      </c>
      <c r="AC196" s="1705">
        <f t="shared" si="76"/>
        <v>0</v>
      </c>
      <c r="AD196" s="1705">
        <f t="shared" si="77"/>
        <v>0</v>
      </c>
    </row>
    <row r="197" spans="1:30" x14ac:dyDescent="0.2">
      <c r="A197" s="2383"/>
      <c r="B197" s="2844" t="s">
        <v>865</v>
      </c>
      <c r="C197" s="2384">
        <f>C193*C194*C192</f>
        <v>120</v>
      </c>
      <c r="D197" s="2848">
        <f>95520/120</f>
        <v>796</v>
      </c>
      <c r="E197" s="2388">
        <f>D197*C197</f>
        <v>95520</v>
      </c>
      <c r="F197" s="296"/>
      <c r="G197" s="318"/>
      <c r="H197" s="2385"/>
      <c r="I197" s="2386"/>
      <c r="N197" s="2383"/>
      <c r="O197" s="315" t="s">
        <v>865</v>
      </c>
      <c r="P197" s="2384">
        <f>P193*P194*P192</f>
        <v>120</v>
      </c>
      <c r="Q197" s="1747">
        <f>95560/120</f>
        <v>796.33333333333337</v>
      </c>
      <c r="R197" s="2388">
        <f>Q197*P197</f>
        <v>95560</v>
      </c>
      <c r="S197" s="296"/>
      <c r="T197" s="318"/>
      <c r="U197" s="2385"/>
      <c r="V197" s="2386"/>
      <c r="X197" s="1704">
        <f t="shared" si="78"/>
        <v>0</v>
      </c>
      <c r="Y197" s="1705">
        <f t="shared" si="72"/>
        <v>0.33333333333337123</v>
      </c>
      <c r="Z197" s="1705">
        <f t="shared" si="73"/>
        <v>40</v>
      </c>
      <c r="AA197" s="1705">
        <f t="shared" si="74"/>
        <v>0</v>
      </c>
      <c r="AB197" s="1706">
        <f t="shared" si="75"/>
        <v>0</v>
      </c>
      <c r="AC197" s="1705">
        <f t="shared" si="76"/>
        <v>0</v>
      </c>
      <c r="AD197" s="1705">
        <f t="shared" si="77"/>
        <v>0</v>
      </c>
    </row>
    <row r="198" spans="1:30" ht="38.25" x14ac:dyDescent="0.2">
      <c r="A198" s="2383"/>
      <c r="B198" s="315" t="s">
        <v>350</v>
      </c>
      <c r="C198" s="2384">
        <f>C192*C193</f>
        <v>30</v>
      </c>
      <c r="D198" s="2848">
        <v>5788.67</v>
      </c>
      <c r="E198" s="2388">
        <f>D198*C198</f>
        <v>173660.1</v>
      </c>
      <c r="F198" s="296"/>
      <c r="G198" s="318"/>
      <c r="H198" s="2385"/>
      <c r="I198" s="2386"/>
      <c r="M198" s="1847"/>
      <c r="N198" s="2383"/>
      <c r="O198" s="315" t="s">
        <v>350</v>
      </c>
      <c r="P198" s="2384">
        <f>P192*P193</f>
        <v>30</v>
      </c>
      <c r="Q198" s="1747">
        <v>5788.67</v>
      </c>
      <c r="R198" s="2388">
        <f>Q198*P198</f>
        <v>173660.1</v>
      </c>
      <c r="S198" s="296"/>
      <c r="T198" s="318"/>
      <c r="U198" s="2385"/>
      <c r="V198" s="2386"/>
      <c r="W198" s="1847"/>
      <c r="X198" s="1704">
        <f t="shared" si="78"/>
        <v>0</v>
      </c>
      <c r="Y198" s="1705">
        <f t="shared" si="72"/>
        <v>0</v>
      </c>
      <c r="Z198" s="1705">
        <f t="shared" si="73"/>
        <v>0</v>
      </c>
      <c r="AA198" s="1705">
        <f t="shared" si="74"/>
        <v>0</v>
      </c>
      <c r="AB198" s="1706">
        <f t="shared" si="75"/>
        <v>0</v>
      </c>
      <c r="AC198" s="1705">
        <f t="shared" si="76"/>
        <v>0</v>
      </c>
      <c r="AD198" s="1705">
        <f t="shared" si="77"/>
        <v>0</v>
      </c>
    </row>
    <row r="199" spans="1:30" ht="25.5" x14ac:dyDescent="0.2">
      <c r="A199" s="2383"/>
      <c r="B199" s="315" t="s">
        <v>351</v>
      </c>
      <c r="C199" s="2384">
        <f>C192*C193/3*2</f>
        <v>20</v>
      </c>
      <c r="D199" s="1640">
        <v>7000</v>
      </c>
      <c r="E199" s="2388">
        <f>D199*C199</f>
        <v>140000</v>
      </c>
      <c r="F199" s="2387"/>
      <c r="G199" s="318"/>
      <c r="H199" s="2385"/>
      <c r="I199" s="2386"/>
      <c r="K199" s="327">
        <f>314*8</f>
        <v>2512</v>
      </c>
      <c r="N199" s="2383"/>
      <c r="O199" s="315" t="s">
        <v>351</v>
      </c>
      <c r="P199" s="2384">
        <f>P192*P193/3*2</f>
        <v>20</v>
      </c>
      <c r="Q199" s="1640">
        <v>2467</v>
      </c>
      <c r="R199" s="2388">
        <f>Q199*P199</f>
        <v>49340</v>
      </c>
      <c r="S199" s="2387"/>
      <c r="T199" s="318"/>
      <c r="U199" s="2385"/>
      <c r="V199" s="2386"/>
      <c r="X199" s="1704">
        <f t="shared" ref="X199:AA200" si="79">P199-C199</f>
        <v>0</v>
      </c>
      <c r="Y199" s="1705">
        <f t="shared" si="79"/>
        <v>-4533</v>
      </c>
      <c r="Z199" s="1705">
        <f t="shared" si="79"/>
        <v>-90660</v>
      </c>
      <c r="AA199" s="1705">
        <f t="shared" si="79"/>
        <v>0</v>
      </c>
      <c r="AB199" s="1706">
        <f>T199-F199</f>
        <v>0</v>
      </c>
      <c r="AC199" s="1705">
        <f>U199-H199</f>
        <v>0</v>
      </c>
      <c r="AD199" s="1705">
        <f>V199-I199</f>
        <v>0</v>
      </c>
    </row>
    <row r="200" spans="1:30" x14ac:dyDescent="0.2">
      <c r="A200" s="2383"/>
      <c r="B200" s="315"/>
      <c r="C200" s="2384"/>
      <c r="D200" s="1640"/>
      <c r="E200" s="2389"/>
      <c r="F200" s="2387"/>
      <c r="G200" s="318"/>
      <c r="H200" s="2385"/>
      <c r="I200" s="2386"/>
      <c r="N200" s="2383"/>
      <c r="O200" s="356" t="s">
        <v>641</v>
      </c>
      <c r="P200" s="2384">
        <f>P193*P192</f>
        <v>30</v>
      </c>
      <c r="Q200" s="1640">
        <v>2200</v>
      </c>
      <c r="R200" s="2388">
        <f>Q200*P200</f>
        <v>66000</v>
      </c>
      <c r="S200" s="2387"/>
      <c r="T200" s="318"/>
      <c r="U200" s="2385"/>
      <c r="V200" s="2386"/>
      <c r="X200" s="1704">
        <f t="shared" si="79"/>
        <v>30</v>
      </c>
      <c r="Y200" s="1705">
        <f t="shared" si="79"/>
        <v>2200</v>
      </c>
      <c r="Z200" s="1705">
        <f t="shared" si="79"/>
        <v>66000</v>
      </c>
      <c r="AA200" s="1705">
        <f t="shared" si="79"/>
        <v>0</v>
      </c>
      <c r="AB200" s="1706">
        <f>T200-F200</f>
        <v>0</v>
      </c>
      <c r="AC200" s="1705">
        <f>U200-H200</f>
        <v>0</v>
      </c>
      <c r="AD200" s="1705">
        <f>V200-I200</f>
        <v>0</v>
      </c>
    </row>
    <row r="201" spans="1:30" s="321" customFormat="1" ht="13.5" customHeight="1" thickBot="1" x14ac:dyDescent="0.25">
      <c r="A201" s="1785"/>
      <c r="B201" s="1786"/>
      <c r="C201" s="1787"/>
      <c r="D201" s="1788"/>
      <c r="E201" s="2390">
        <f>SUM(E193:E200)</f>
        <v>409180.1</v>
      </c>
      <c r="F201" s="2390"/>
      <c r="G201" s="1790"/>
      <c r="H201" s="1787"/>
      <c r="I201" s="2376">
        <v>0</v>
      </c>
      <c r="J201" s="320">
        <v>409180</v>
      </c>
      <c r="K201" s="320"/>
      <c r="N201" s="1785"/>
      <c r="O201" s="1786"/>
      <c r="P201" s="1787"/>
      <c r="Q201" s="1788"/>
      <c r="R201" s="2390">
        <f>SUM(R197:R200)</f>
        <v>384560.1</v>
      </c>
      <c r="S201" s="2390"/>
      <c r="T201" s="1790"/>
      <c r="U201" s="1787"/>
      <c r="V201" s="2376">
        <v>0</v>
      </c>
      <c r="X201" s="1792"/>
      <c r="Y201" s="1789"/>
      <c r="Z201" s="1789">
        <f>SUM(Z193:Z199)</f>
        <v>-90620</v>
      </c>
      <c r="AA201" s="1789">
        <f>SUM(AA192:AA199)</f>
        <v>0</v>
      </c>
      <c r="AB201" s="1789">
        <f>SUM(AB192:AB199)</f>
        <v>0</v>
      </c>
      <c r="AC201" s="1789">
        <f>SUM(AC192:AC199)</f>
        <v>0</v>
      </c>
      <c r="AD201" s="1789">
        <f>SUM(AD192:AD199)</f>
        <v>0</v>
      </c>
    </row>
    <row r="202" spans="1:30" s="2145" customFormat="1" ht="13.5" customHeight="1" x14ac:dyDescent="0.2">
      <c r="B202" s="1703" t="s">
        <v>352</v>
      </c>
      <c r="D202" s="2192"/>
      <c r="E202" s="2259"/>
      <c r="J202" s="1846"/>
      <c r="K202" s="1846"/>
      <c r="Q202" s="2192"/>
      <c r="R202" s="2259"/>
      <c r="S202" s="2259">
        <v>0</v>
      </c>
      <c r="X202" s="328"/>
      <c r="Y202" s="328"/>
      <c r="Z202" s="328"/>
      <c r="AA202" s="328"/>
      <c r="AB202" s="328"/>
      <c r="AC202" s="328"/>
      <c r="AD202" s="328"/>
    </row>
    <row r="203" spans="1:30" s="2145" customFormat="1" ht="13.5" customHeight="1" thickBot="1" x14ac:dyDescent="0.25">
      <c r="B203" s="1703"/>
      <c r="D203" s="2192"/>
      <c r="J203" s="1846"/>
      <c r="K203" s="1846"/>
      <c r="Q203" s="2192"/>
      <c r="X203" s="328"/>
      <c r="Y203" s="328"/>
      <c r="Z203" s="328"/>
      <c r="AA203" s="328"/>
      <c r="AB203" s="328"/>
      <c r="AC203" s="328"/>
      <c r="AD203" s="328"/>
    </row>
    <row r="204" spans="1:30" s="345" customFormat="1" ht="38.25" x14ac:dyDescent="0.2">
      <c r="A204" s="2193">
        <v>6.1</v>
      </c>
      <c r="B204" s="2365" t="s">
        <v>353</v>
      </c>
      <c r="C204" s="3186" t="s">
        <v>104</v>
      </c>
      <c r="D204" s="3186"/>
      <c r="E204" s="3186"/>
      <c r="F204" s="2278"/>
      <c r="G204" s="2279"/>
      <c r="H204" s="3189" t="s">
        <v>354</v>
      </c>
      <c r="I204" s="3190"/>
      <c r="J204" s="346"/>
      <c r="K204" s="346"/>
      <c r="N204" s="2193">
        <v>6.1</v>
      </c>
      <c r="O204" s="2365" t="s">
        <v>353</v>
      </c>
      <c r="P204" s="3185" t="s">
        <v>812</v>
      </c>
      <c r="Q204" s="3186"/>
      <c r="R204" s="3186"/>
      <c r="S204" s="2151"/>
      <c r="T204" s="2279"/>
      <c r="U204" s="3189" t="s">
        <v>354</v>
      </c>
      <c r="V204" s="3190"/>
      <c r="X204" s="3188" t="s">
        <v>506</v>
      </c>
      <c r="Y204" s="3186"/>
      <c r="Z204" s="3186"/>
      <c r="AA204" s="2151"/>
      <c r="AB204" s="2153"/>
      <c r="AC204" s="3189" t="s">
        <v>88</v>
      </c>
      <c r="AD204" s="3190"/>
    </row>
    <row r="205" spans="1:30" s="345" customFormat="1" ht="25.5" x14ac:dyDescent="0.2">
      <c r="A205" s="2154"/>
      <c r="B205" s="2155" t="s">
        <v>89</v>
      </c>
      <c r="C205" s="2155" t="s">
        <v>54</v>
      </c>
      <c r="D205" s="2156" t="s">
        <v>91</v>
      </c>
      <c r="E205" s="2155" t="s">
        <v>92</v>
      </c>
      <c r="F205" s="2155"/>
      <c r="G205" s="357"/>
      <c r="H205" s="2196" t="s">
        <v>54</v>
      </c>
      <c r="I205" s="2319" t="s">
        <v>92</v>
      </c>
      <c r="J205" s="346"/>
      <c r="K205" s="346"/>
      <c r="N205" s="2154"/>
      <c r="O205" s="2155" t="s">
        <v>89</v>
      </c>
      <c r="P205" s="2155" t="s">
        <v>54</v>
      </c>
      <c r="Q205" s="2156" t="s">
        <v>91</v>
      </c>
      <c r="R205" s="2155" t="s">
        <v>92</v>
      </c>
      <c r="S205" s="2155"/>
      <c r="T205" s="357"/>
      <c r="U205" s="2196" t="s">
        <v>54</v>
      </c>
      <c r="V205" s="2319" t="s">
        <v>92</v>
      </c>
      <c r="X205" s="2154" t="s">
        <v>90</v>
      </c>
      <c r="Y205" s="2155" t="s">
        <v>91</v>
      </c>
      <c r="Z205" s="2158" t="s">
        <v>507</v>
      </c>
      <c r="AA205" s="2158"/>
      <c r="AB205" s="2161"/>
      <c r="AC205" s="2162" t="s">
        <v>54</v>
      </c>
      <c r="AD205" s="2163" t="s">
        <v>507</v>
      </c>
    </row>
    <row r="206" spans="1:30" s="345" customFormat="1" ht="13.5" customHeight="1" x14ac:dyDescent="0.2">
      <c r="A206" s="336"/>
      <c r="B206" s="356" t="s">
        <v>355</v>
      </c>
      <c r="C206" s="309">
        <v>1</v>
      </c>
      <c r="D206" s="1641"/>
      <c r="E206" s="339"/>
      <c r="F206" s="339"/>
      <c r="G206" s="357"/>
      <c r="H206" s="358">
        <v>1</v>
      </c>
      <c r="I206" s="359"/>
      <c r="J206" s="346"/>
      <c r="K206" s="346"/>
      <c r="N206" s="336"/>
      <c r="O206" s="356" t="s">
        <v>355</v>
      </c>
      <c r="P206" s="309">
        <v>1</v>
      </c>
      <c r="Q206" s="1641"/>
      <c r="R206" s="339"/>
      <c r="S206" s="339"/>
      <c r="T206" s="357"/>
      <c r="U206" s="358">
        <v>1</v>
      </c>
      <c r="V206" s="359"/>
      <c r="X206" s="1704">
        <f>P206-C206</f>
        <v>0</v>
      </c>
      <c r="Y206" s="1705"/>
      <c r="Z206" s="1705">
        <f>R206-E206</f>
        <v>0</v>
      </c>
      <c r="AA206" s="1705">
        <f>F206-S206</f>
        <v>0</v>
      </c>
      <c r="AB206" s="1706">
        <f>T206-F206</f>
        <v>0</v>
      </c>
      <c r="AC206" s="1705">
        <f t="shared" ref="AC206:AD209" si="80">U206-H206</f>
        <v>0</v>
      </c>
      <c r="AD206" s="1705">
        <f t="shared" si="80"/>
        <v>0</v>
      </c>
    </row>
    <row r="207" spans="1:30" s="345" customFormat="1" ht="13.5" customHeight="1" x14ac:dyDescent="0.2">
      <c r="A207" s="336"/>
      <c r="B207" s="356" t="s">
        <v>356</v>
      </c>
      <c r="C207" s="309">
        <v>30</v>
      </c>
      <c r="D207" s="1641"/>
      <c r="E207" s="339"/>
      <c r="F207" s="339"/>
      <c r="G207" s="357"/>
      <c r="H207" s="309">
        <v>25</v>
      </c>
      <c r="I207" s="2391"/>
      <c r="J207" s="346"/>
      <c r="K207" s="346"/>
      <c r="N207" s="336"/>
      <c r="O207" s="356" t="s">
        <v>356</v>
      </c>
      <c r="P207" s="309">
        <v>30</v>
      </c>
      <c r="Q207" s="1641"/>
      <c r="R207" s="339"/>
      <c r="S207" s="339"/>
      <c r="T207" s="357"/>
      <c r="U207" s="309">
        <v>25</v>
      </c>
      <c r="V207" s="2391"/>
      <c r="X207" s="1704">
        <f>P207-C207</f>
        <v>0</v>
      </c>
      <c r="Y207" s="1705">
        <f>Q207-D207</f>
        <v>0</v>
      </c>
      <c r="Z207" s="1705">
        <f>R207-E207</f>
        <v>0</v>
      </c>
      <c r="AA207" s="1705">
        <f>F207-S207</f>
        <v>0</v>
      </c>
      <c r="AB207" s="1706">
        <f>T207-F207</f>
        <v>0</v>
      </c>
      <c r="AC207" s="1705">
        <f t="shared" si="80"/>
        <v>0</v>
      </c>
      <c r="AD207" s="1705">
        <f t="shared" si="80"/>
        <v>0</v>
      </c>
    </row>
    <row r="208" spans="1:30" s="345" customFormat="1" ht="13.5" customHeight="1" x14ac:dyDescent="0.2">
      <c r="A208" s="2392"/>
      <c r="B208" s="361" t="s">
        <v>357</v>
      </c>
      <c r="C208" s="362">
        <f>C207*4*C206</f>
        <v>120</v>
      </c>
      <c r="D208" s="1641">
        <f>380</f>
        <v>380</v>
      </c>
      <c r="E208" s="339">
        <f>D208*C208</f>
        <v>45600</v>
      </c>
      <c r="F208" s="339"/>
      <c r="G208" s="357"/>
      <c r="H208" s="362">
        <f>H207*4</f>
        <v>100</v>
      </c>
      <c r="I208" s="2333">
        <f>D208*H208</f>
        <v>38000</v>
      </c>
      <c r="J208" s="346"/>
      <c r="K208" s="346"/>
      <c r="N208" s="2392"/>
      <c r="O208" s="361" t="s">
        <v>357</v>
      </c>
      <c r="P208" s="362">
        <f>P207*4</f>
        <v>120</v>
      </c>
      <c r="Q208" s="1641">
        <f>380</f>
        <v>380</v>
      </c>
      <c r="R208" s="339">
        <f>Q208*P208</f>
        <v>45600</v>
      </c>
      <c r="S208" s="339"/>
      <c r="T208" s="357"/>
      <c r="U208" s="362">
        <f>U207*4</f>
        <v>100</v>
      </c>
      <c r="V208" s="2333">
        <f>Q208*U208</f>
        <v>38000</v>
      </c>
      <c r="X208" s="1704">
        <f>P208-C208</f>
        <v>0</v>
      </c>
      <c r="Y208" s="1705">
        <f>Q208-D208</f>
        <v>0</v>
      </c>
      <c r="Z208" s="1705">
        <f>R208-E208</f>
        <v>0</v>
      </c>
      <c r="AA208" s="1705">
        <f>F208-S208</f>
        <v>0</v>
      </c>
      <c r="AB208" s="1706">
        <f>T208-F208</f>
        <v>0</v>
      </c>
      <c r="AC208" s="1705">
        <f t="shared" si="80"/>
        <v>0</v>
      </c>
      <c r="AD208" s="1705">
        <f t="shared" si="80"/>
        <v>0</v>
      </c>
    </row>
    <row r="209" spans="1:30" s="345" customFormat="1" ht="51" x14ac:dyDescent="0.2">
      <c r="A209" s="2392"/>
      <c r="B209" s="1837" t="s">
        <v>857</v>
      </c>
      <c r="C209" s="2839">
        <v>1</v>
      </c>
      <c r="D209" s="339">
        <f>4000+2512*4+1000</f>
        <v>15048</v>
      </c>
      <c r="E209" s="339">
        <f>D209*C209</f>
        <v>15048</v>
      </c>
      <c r="F209" s="339"/>
      <c r="G209" s="339"/>
      <c r="H209" s="2267">
        <f>H206</f>
        <v>1</v>
      </c>
      <c r="I209" s="339">
        <f>D209*H209</f>
        <v>15048</v>
      </c>
      <c r="J209" s="346"/>
      <c r="K209" s="346"/>
      <c r="N209" s="2392"/>
      <c r="O209" s="1837" t="s">
        <v>857</v>
      </c>
      <c r="P209" s="2393">
        <v>1</v>
      </c>
      <c r="Q209" s="1641">
        <f>4000+2512*4+1000</f>
        <v>15048</v>
      </c>
      <c r="R209" s="339">
        <f>Q209*P209</f>
        <v>15048</v>
      </c>
      <c r="S209" s="339"/>
      <c r="T209" s="357"/>
      <c r="U209" s="362">
        <f>U206</f>
        <v>1</v>
      </c>
      <c r="V209" s="2333">
        <f>Q209*U209</f>
        <v>15048</v>
      </c>
      <c r="W209" s="440"/>
      <c r="X209" s="1704">
        <f>P209-C209</f>
        <v>0</v>
      </c>
      <c r="Y209" s="1705">
        <f>Q209-D209</f>
        <v>0</v>
      </c>
      <c r="Z209" s="1705">
        <f>R209-E209</f>
        <v>0</v>
      </c>
      <c r="AA209" s="1705">
        <f>F209-S209</f>
        <v>0</v>
      </c>
      <c r="AB209" s="1706">
        <f>T209-F209</f>
        <v>0</v>
      </c>
      <c r="AC209" s="1705">
        <f t="shared" si="80"/>
        <v>0</v>
      </c>
      <c r="AD209" s="1705">
        <f t="shared" si="80"/>
        <v>0</v>
      </c>
    </row>
    <row r="210" spans="1:30" s="345" customFormat="1" ht="13.5" customHeight="1" x14ac:dyDescent="0.2">
      <c r="A210" s="2392"/>
      <c r="B210" s="361" t="s">
        <v>359</v>
      </c>
      <c r="C210" s="362">
        <v>15</v>
      </c>
      <c r="D210" s="1642">
        <f>600*J1</f>
        <v>2280</v>
      </c>
      <c r="E210" s="339">
        <f>D210*C210</f>
        <v>34200</v>
      </c>
      <c r="F210" s="339"/>
      <c r="G210" s="357"/>
      <c r="H210" s="362">
        <v>7</v>
      </c>
      <c r="I210" s="2333">
        <f>D210*H210</f>
        <v>15960</v>
      </c>
      <c r="J210" s="346"/>
      <c r="K210" s="346"/>
      <c r="M210" s="440"/>
      <c r="N210" s="2392"/>
      <c r="O210" s="361" t="s">
        <v>359</v>
      </c>
      <c r="P210" s="362">
        <v>15</v>
      </c>
      <c r="Q210" s="1642">
        <f>600*J1</f>
        <v>2280</v>
      </c>
      <c r="R210" s="339">
        <f>Q210*P210</f>
        <v>34200</v>
      </c>
      <c r="S210" s="339"/>
      <c r="T210" s="357"/>
      <c r="U210" s="362">
        <v>7</v>
      </c>
      <c r="V210" s="2333">
        <f>Q210*U210</f>
        <v>15960</v>
      </c>
      <c r="X210" s="1704">
        <f>P210-C210</f>
        <v>0</v>
      </c>
      <c r="Y210" s="1705">
        <f>Q210-D210</f>
        <v>0</v>
      </c>
      <c r="Z210" s="1705">
        <f>R210-E210</f>
        <v>0</v>
      </c>
      <c r="AA210" s="1705">
        <f>F210-S210</f>
        <v>0</v>
      </c>
      <c r="AB210" s="1706">
        <f>T210-F210</f>
        <v>0</v>
      </c>
      <c r="AC210" s="1705"/>
      <c r="AD210" s="1705">
        <f>V210-I210</f>
        <v>0</v>
      </c>
    </row>
    <row r="211" spans="1:30" s="345" customFormat="1" ht="13.5" customHeight="1" thickBot="1" x14ac:dyDescent="0.25">
      <c r="A211" s="1826"/>
      <c r="B211" s="1827"/>
      <c r="C211" s="1792"/>
      <c r="D211" s="1828"/>
      <c r="E211" s="2231">
        <f>SUM(E208:E210)</f>
        <v>94848</v>
      </c>
      <c r="F211" s="2231"/>
      <c r="G211" s="1790"/>
      <c r="H211" s="1790"/>
      <c r="I211" s="2232">
        <f>SUM(I208:I210)</f>
        <v>69008</v>
      </c>
      <c r="J211" s="346">
        <v>94848</v>
      </c>
      <c r="K211" s="346"/>
      <c r="N211" s="2415"/>
      <c r="O211" s="2416"/>
      <c r="P211" s="2417"/>
      <c r="Q211" s="2418"/>
      <c r="R211" s="1859">
        <f>SUM(R208:R210)</f>
        <v>94848</v>
      </c>
      <c r="S211" s="1859"/>
      <c r="T211" s="318"/>
      <c r="U211" s="318"/>
      <c r="V211" s="2737">
        <f>SUM(V208:V210)</f>
        <v>69008</v>
      </c>
      <c r="X211" s="1848"/>
      <c r="Y211" s="1848"/>
      <c r="Z211" s="1849">
        <f>SUM(Z209:Z210)</f>
        <v>0</v>
      </c>
      <c r="AA211" s="1850"/>
      <c r="AB211" s="1790"/>
      <c r="AC211" s="1790"/>
      <c r="AD211" s="1791">
        <v>0</v>
      </c>
    </row>
    <row r="212" spans="1:30" s="345" customFormat="1" ht="13.5" customHeight="1" x14ac:dyDescent="0.2">
      <c r="B212" s="346" t="s">
        <v>360</v>
      </c>
      <c r="C212" s="346"/>
      <c r="D212" s="2148"/>
      <c r="E212" s="346">
        <f>-E211+'[1]חמ"ע'!$E$220</f>
        <v>0</v>
      </c>
      <c r="F212" s="346"/>
      <c r="G212" s="346"/>
      <c r="H212" s="346"/>
      <c r="I212" s="346"/>
      <c r="J212" s="346"/>
      <c r="K212" s="346"/>
      <c r="N212" s="2740"/>
      <c r="O212" s="2738" t="s">
        <v>360</v>
      </c>
      <c r="P212" s="325"/>
      <c r="Q212" s="1640"/>
      <c r="R212" s="2739">
        <f>R211-'[4]פרוט (3)'!$V$214</f>
        <v>0</v>
      </c>
      <c r="S212" s="325"/>
      <c r="T212" s="325"/>
      <c r="U212" s="325"/>
      <c r="V212" s="2741">
        <f>-V211+'[3]פרוט (4)'!$Z$226</f>
        <v>0</v>
      </c>
      <c r="X212" s="328"/>
      <c r="Y212" s="328"/>
      <c r="Z212" s="328"/>
      <c r="AA212" s="328"/>
      <c r="AB212" s="328"/>
      <c r="AC212" s="328"/>
      <c r="AD212" s="328"/>
    </row>
    <row r="213" spans="1:30" s="345" customFormat="1" ht="13.5" customHeight="1" thickBot="1" x14ac:dyDescent="0.25">
      <c r="B213" s="346" t="s">
        <v>361</v>
      </c>
      <c r="C213" s="346"/>
      <c r="D213" s="2148"/>
      <c r="E213" s="346"/>
      <c r="F213" s="346"/>
      <c r="G213" s="346"/>
      <c r="H213" s="346"/>
      <c r="I213" s="346"/>
      <c r="J213" s="346"/>
      <c r="K213" s="346"/>
      <c r="N213" s="2742"/>
      <c r="O213" s="2743" t="s">
        <v>361</v>
      </c>
      <c r="P213" s="2635"/>
      <c r="Q213" s="2744"/>
      <c r="R213" s="2635"/>
      <c r="S213" s="2635"/>
      <c r="T213" s="2635"/>
      <c r="U213" s="2635"/>
      <c r="V213" s="2745"/>
      <c r="X213" s="328"/>
      <c r="Y213" s="328"/>
      <c r="Z213" s="328"/>
      <c r="AA213" s="328"/>
      <c r="AB213" s="328"/>
      <c r="AC213" s="328"/>
      <c r="AD213" s="328"/>
    </row>
    <row r="214" spans="1:30" s="345" customFormat="1" ht="13.5" customHeight="1" x14ac:dyDescent="0.2">
      <c r="A214" s="346"/>
      <c r="B214" s="346"/>
      <c r="C214" s="346"/>
      <c r="D214" s="2148"/>
      <c r="E214" s="346"/>
      <c r="F214" s="346"/>
      <c r="G214" s="346"/>
      <c r="H214" s="346"/>
      <c r="I214" s="346"/>
      <c r="J214" s="346"/>
      <c r="K214" s="346"/>
      <c r="Q214" s="2148"/>
      <c r="X214" s="328"/>
      <c r="Y214" s="328"/>
      <c r="Z214" s="328"/>
      <c r="AA214" s="328"/>
      <c r="AB214" s="328"/>
      <c r="AC214" s="328"/>
      <c r="AD214" s="328"/>
    </row>
    <row r="215" spans="1:30" s="345" customFormat="1" ht="13.5" customHeight="1" thickBot="1" x14ac:dyDescent="0.25">
      <c r="A215" s="346"/>
      <c r="B215" s="346"/>
      <c r="C215" s="346"/>
      <c r="D215" s="2148"/>
      <c r="E215" s="346"/>
      <c r="F215" s="346"/>
      <c r="G215" s="346"/>
      <c r="H215" s="346"/>
      <c r="I215" s="346"/>
      <c r="J215" s="346"/>
      <c r="K215" s="346"/>
      <c r="Q215" s="2148"/>
      <c r="X215" s="321"/>
      <c r="Y215" s="321"/>
      <c r="Z215" s="321"/>
      <c r="AA215" s="321"/>
      <c r="AB215" s="321"/>
      <c r="AC215" s="321"/>
      <c r="AD215" s="321"/>
    </row>
    <row r="216" spans="1:30" s="345" customFormat="1" ht="25.5" x14ac:dyDescent="0.2">
      <c r="A216" s="2193">
        <v>6.2</v>
      </c>
      <c r="B216" s="2365" t="s">
        <v>362</v>
      </c>
      <c r="C216" s="3186" t="s">
        <v>104</v>
      </c>
      <c r="D216" s="3186"/>
      <c r="E216" s="3186"/>
      <c r="F216" s="2151"/>
      <c r="G216" s="2152"/>
      <c r="H216" s="3186" t="s">
        <v>88</v>
      </c>
      <c r="I216" s="3187"/>
      <c r="J216" s="346"/>
      <c r="K216" s="346"/>
      <c r="N216" s="2193">
        <v>6.2</v>
      </c>
      <c r="O216" s="2365" t="s">
        <v>362</v>
      </c>
      <c r="P216" s="3185" t="s">
        <v>812</v>
      </c>
      <c r="Q216" s="3186"/>
      <c r="R216" s="3186"/>
      <c r="S216" s="2151"/>
      <c r="T216" s="2152"/>
      <c r="U216" s="3186" t="s">
        <v>88</v>
      </c>
      <c r="V216" s="3187"/>
      <c r="X216" s="3188" t="s">
        <v>506</v>
      </c>
      <c r="Y216" s="3186"/>
      <c r="Z216" s="3186"/>
      <c r="AA216" s="2151"/>
      <c r="AB216" s="2153"/>
      <c r="AC216" s="3189" t="s">
        <v>88</v>
      </c>
      <c r="AD216" s="3190"/>
    </row>
    <row r="217" spans="1:30" s="345" customFormat="1" ht="25.5" x14ac:dyDescent="0.2">
      <c r="A217" s="2154"/>
      <c r="B217" s="2155" t="s">
        <v>89</v>
      </c>
      <c r="C217" s="2155" t="s">
        <v>54</v>
      </c>
      <c r="D217" s="2156" t="s">
        <v>91</v>
      </c>
      <c r="E217" s="2155" t="s">
        <v>92</v>
      </c>
      <c r="F217" s="2155"/>
      <c r="G217" s="357"/>
      <c r="H217" s="2155" t="s">
        <v>54</v>
      </c>
      <c r="I217" s="2157" t="s">
        <v>92</v>
      </c>
      <c r="J217" s="346"/>
      <c r="K217" s="346"/>
      <c r="N217" s="2154"/>
      <c r="O217" s="2155" t="s">
        <v>89</v>
      </c>
      <c r="P217" s="2155" t="s">
        <v>54</v>
      </c>
      <c r="Q217" s="2156" t="s">
        <v>91</v>
      </c>
      <c r="R217" s="2155" t="s">
        <v>92</v>
      </c>
      <c r="S217" s="2155"/>
      <c r="T217" s="357"/>
      <c r="U217" s="2155" t="s">
        <v>54</v>
      </c>
      <c r="V217" s="2157" t="s">
        <v>92</v>
      </c>
      <c r="X217" s="2154" t="s">
        <v>90</v>
      </c>
      <c r="Y217" s="2155" t="s">
        <v>91</v>
      </c>
      <c r="Z217" s="2158" t="s">
        <v>507</v>
      </c>
      <c r="AA217" s="2158"/>
      <c r="AB217" s="2161"/>
      <c r="AC217" s="2162" t="s">
        <v>54</v>
      </c>
      <c r="AD217" s="2163" t="s">
        <v>507</v>
      </c>
    </row>
    <row r="218" spans="1:30" s="345" customFormat="1" x14ac:dyDescent="0.2">
      <c r="A218" s="2261"/>
      <c r="B218" s="2394" t="s">
        <v>363</v>
      </c>
      <c r="C218" s="2395">
        <v>5</v>
      </c>
      <c r="D218" s="1643"/>
      <c r="E218" s="2263"/>
      <c r="F218" s="2263"/>
      <c r="G218" s="318"/>
      <c r="H218" s="325"/>
      <c r="I218" s="326"/>
      <c r="J218" s="346"/>
      <c r="K218" s="346"/>
      <c r="N218" s="2261"/>
      <c r="O218" s="2394" t="s">
        <v>363</v>
      </c>
      <c r="P218" s="2395">
        <v>5</v>
      </c>
      <c r="Q218" s="1643"/>
      <c r="R218" s="2263"/>
      <c r="S218" s="2263"/>
      <c r="T218" s="318"/>
      <c r="U218" s="325"/>
      <c r="V218" s="326"/>
      <c r="X218" s="1704">
        <f t="shared" ref="X218:X222" si="81">P218-C218</f>
        <v>0</v>
      </c>
      <c r="Y218" s="1705"/>
      <c r="Z218" s="1705">
        <f t="shared" ref="Z218:Z222" si="82">R218-E218</f>
        <v>0</v>
      </c>
      <c r="AA218" s="1705">
        <f t="shared" ref="AA218:AA222" si="83">F218-S218</f>
        <v>0</v>
      </c>
      <c r="AB218" s="1706">
        <f t="shared" ref="AB218:AB222" si="84">T218-F218</f>
        <v>0</v>
      </c>
      <c r="AC218" s="1705">
        <f>U218-H218</f>
        <v>0</v>
      </c>
      <c r="AD218" s="1705">
        <f t="shared" ref="AD218:AD222" si="85">V218-I218</f>
        <v>0</v>
      </c>
    </row>
    <row r="219" spans="1:30" s="345" customFormat="1" x14ac:dyDescent="0.2">
      <c r="A219" s="2261"/>
      <c r="B219" s="2308" t="s">
        <v>356</v>
      </c>
      <c r="C219" s="344">
        <v>41</v>
      </c>
      <c r="D219" s="1643"/>
      <c r="E219" s="2396"/>
      <c r="F219" s="2263"/>
      <c r="G219" s="318"/>
      <c r="H219" s="325"/>
      <c r="I219" s="326"/>
      <c r="J219" s="346"/>
      <c r="K219" s="346"/>
      <c r="N219" s="2261"/>
      <c r="O219" s="2308" t="s">
        <v>356</v>
      </c>
      <c r="P219" s="344">
        <v>41</v>
      </c>
      <c r="Q219" s="1643"/>
      <c r="R219" s="2396"/>
      <c r="S219" s="2263"/>
      <c r="T219" s="318"/>
      <c r="U219" s="325"/>
      <c r="V219" s="326"/>
      <c r="X219" s="1704">
        <f t="shared" si="81"/>
        <v>0</v>
      </c>
      <c r="Y219" s="1705">
        <f>Q219-D219</f>
        <v>0</v>
      </c>
      <c r="Z219" s="1705">
        <f t="shared" si="82"/>
        <v>0</v>
      </c>
      <c r="AA219" s="1705">
        <f t="shared" si="83"/>
        <v>0</v>
      </c>
      <c r="AB219" s="1706">
        <f t="shared" si="84"/>
        <v>0</v>
      </c>
      <c r="AC219" s="1705">
        <f>U219-H219</f>
        <v>0</v>
      </c>
      <c r="AD219" s="1705">
        <f t="shared" si="85"/>
        <v>0</v>
      </c>
    </row>
    <row r="220" spans="1:30" s="345" customFormat="1" x14ac:dyDescent="0.2">
      <c r="A220" s="2261"/>
      <c r="B220" s="2308" t="s">
        <v>364</v>
      </c>
      <c r="C220" s="344">
        <f>C219*C218</f>
        <v>205</v>
      </c>
      <c r="D220" s="1643"/>
      <c r="E220" s="2396"/>
      <c r="F220" s="2263"/>
      <c r="G220" s="318"/>
      <c r="H220" s="325"/>
      <c r="I220" s="326"/>
      <c r="J220" s="346"/>
      <c r="K220" s="346"/>
      <c r="N220" s="2261"/>
      <c r="O220" s="2308" t="s">
        <v>364</v>
      </c>
      <c r="P220" s="344">
        <f>P219*P218</f>
        <v>205</v>
      </c>
      <c r="Q220" s="1643"/>
      <c r="R220" s="2396"/>
      <c r="S220" s="2263"/>
      <c r="T220" s="318"/>
      <c r="U220" s="325"/>
      <c r="V220" s="326"/>
      <c r="X220" s="1704">
        <f t="shared" si="81"/>
        <v>0</v>
      </c>
      <c r="Y220" s="1705">
        <f>Q220-D220</f>
        <v>0</v>
      </c>
      <c r="Z220" s="1705">
        <f t="shared" si="82"/>
        <v>0</v>
      </c>
      <c r="AA220" s="1705">
        <f t="shared" si="83"/>
        <v>0</v>
      </c>
      <c r="AB220" s="1706">
        <f t="shared" si="84"/>
        <v>0</v>
      </c>
      <c r="AC220" s="1705">
        <f>U220-H220</f>
        <v>0</v>
      </c>
      <c r="AD220" s="1705">
        <f t="shared" si="85"/>
        <v>0</v>
      </c>
    </row>
    <row r="221" spans="1:30" s="345" customFormat="1" x14ac:dyDescent="0.2">
      <c r="A221" s="307"/>
      <c r="B221" s="342" t="s">
        <v>656</v>
      </c>
      <c r="C221" s="308">
        <f>C220*3</f>
        <v>615</v>
      </c>
      <c r="D221" s="1640">
        <f>E221/C221</f>
        <v>195.84390243902439</v>
      </c>
      <c r="E221" s="1675">
        <v>120444</v>
      </c>
      <c r="F221" s="344"/>
      <c r="G221" s="318"/>
      <c r="H221" s="325"/>
      <c r="I221" s="326"/>
      <c r="J221" s="346"/>
      <c r="K221" s="346"/>
      <c r="N221" s="307"/>
      <c r="O221" s="342" t="s">
        <v>656</v>
      </c>
      <c r="P221" s="308">
        <f>P220*3</f>
        <v>615</v>
      </c>
      <c r="Q221" s="1640">
        <v>220</v>
      </c>
      <c r="R221" s="1675">
        <f>Q221*P221</f>
        <v>135300</v>
      </c>
      <c r="S221" s="344"/>
      <c r="T221" s="318"/>
      <c r="U221" s="2230"/>
      <c r="V221" s="326"/>
      <c r="X221" s="1704">
        <f t="shared" si="81"/>
        <v>0</v>
      </c>
      <c r="Y221" s="1705">
        <f>Q221-D221</f>
        <v>24.15609756097561</v>
      </c>
      <c r="Z221" s="1705">
        <f t="shared" si="82"/>
        <v>14856</v>
      </c>
      <c r="AA221" s="1705">
        <f t="shared" si="83"/>
        <v>0</v>
      </c>
      <c r="AB221" s="1706">
        <f t="shared" si="84"/>
        <v>0</v>
      </c>
      <c r="AC221" s="1705">
        <f>U221-H221</f>
        <v>0</v>
      </c>
      <c r="AD221" s="1705">
        <f t="shared" si="85"/>
        <v>0</v>
      </c>
    </row>
    <row r="222" spans="1:30" s="345" customFormat="1" ht="38.25" x14ac:dyDescent="0.2">
      <c r="A222" s="307"/>
      <c r="B222" s="2824" t="s">
        <v>858</v>
      </c>
      <c r="C222" s="308">
        <v>5</v>
      </c>
      <c r="D222" s="1640">
        <v>20534</v>
      </c>
      <c r="E222" s="1675">
        <f>D222*C222</f>
        <v>102670</v>
      </c>
      <c r="F222" s="344"/>
      <c r="G222" s="318"/>
      <c r="H222" s="325"/>
      <c r="I222" s="326"/>
      <c r="J222" s="346"/>
      <c r="K222" s="346"/>
      <c r="N222" s="307"/>
      <c r="O222" s="2824" t="s">
        <v>858</v>
      </c>
      <c r="P222" s="308">
        <v>5</v>
      </c>
      <c r="Q222" s="1640">
        <v>20534</v>
      </c>
      <c r="R222" s="1675">
        <f>Q222*P222</f>
        <v>102670</v>
      </c>
      <c r="S222" s="344"/>
      <c r="T222" s="318"/>
      <c r="U222" s="2230"/>
      <c r="V222" s="326"/>
      <c r="W222" s="440"/>
      <c r="X222" s="1704">
        <f t="shared" si="81"/>
        <v>0</v>
      </c>
      <c r="Y222" s="1705">
        <f>Q222-D222</f>
        <v>0</v>
      </c>
      <c r="Z222" s="1705">
        <f t="shared" si="82"/>
        <v>0</v>
      </c>
      <c r="AA222" s="1705">
        <f t="shared" si="83"/>
        <v>0</v>
      </c>
      <c r="AB222" s="1706">
        <f t="shared" si="84"/>
        <v>0</v>
      </c>
      <c r="AC222" s="1705">
        <f>U222-H222</f>
        <v>0</v>
      </c>
      <c r="AD222" s="1705">
        <f t="shared" si="85"/>
        <v>0</v>
      </c>
    </row>
    <row r="223" spans="1:30" s="345" customFormat="1" ht="38.25" x14ac:dyDescent="0.2">
      <c r="A223" s="307"/>
      <c r="B223" s="342" t="s">
        <v>366</v>
      </c>
      <c r="C223" s="308">
        <f>3*C218</f>
        <v>15</v>
      </c>
      <c r="D223" s="1640">
        <f>E223/C223</f>
        <v>5852</v>
      </c>
      <c r="E223" s="1675">
        <v>87780</v>
      </c>
      <c r="F223" s="344"/>
      <c r="G223" s="318"/>
      <c r="H223" s="325"/>
      <c r="I223" s="326"/>
      <c r="J223" s="346"/>
      <c r="K223" s="346"/>
      <c r="M223" s="440"/>
      <c r="N223" s="307"/>
      <c r="O223" s="342" t="s">
        <v>366</v>
      </c>
      <c r="P223" s="308">
        <f>P218*3</f>
        <v>15</v>
      </c>
      <c r="Q223" s="1747">
        <v>5852</v>
      </c>
      <c r="R223" s="1675">
        <f>Q223*P223</f>
        <v>87780</v>
      </c>
      <c r="S223" s="344"/>
      <c r="T223" s="318"/>
      <c r="U223" s="2230"/>
      <c r="V223" s="326"/>
      <c r="X223" s="1704">
        <f t="shared" ref="X223:X231" si="86">P223-C223</f>
        <v>0</v>
      </c>
      <c r="Y223" s="1705">
        <f t="shared" ref="Y223:Y231" si="87">Q223-D223</f>
        <v>0</v>
      </c>
      <c r="Z223" s="1705">
        <f t="shared" ref="Z223:Z231" si="88">R223-E223</f>
        <v>0</v>
      </c>
      <c r="AA223" s="1705">
        <f t="shared" ref="AA223:AA231" si="89">F223-S223</f>
        <v>0</v>
      </c>
      <c r="AB223" s="1706">
        <f t="shared" ref="AB223:AB231" si="90">T223-F223</f>
        <v>0</v>
      </c>
      <c r="AC223" s="1705">
        <f t="shared" ref="AC223:AC231" si="91">U223-H223</f>
        <v>0</v>
      </c>
      <c r="AD223" s="1705">
        <f t="shared" ref="AD223:AD231" si="92">V223-I223</f>
        <v>0</v>
      </c>
    </row>
    <row r="224" spans="1:30" s="345" customFormat="1" ht="25.5" x14ac:dyDescent="0.2">
      <c r="A224" s="307"/>
      <c r="B224" s="342" t="s">
        <v>764</v>
      </c>
      <c r="C224" s="308"/>
      <c r="D224" s="1640"/>
      <c r="E224" s="1675"/>
      <c r="F224" s="344"/>
      <c r="G224" s="318"/>
      <c r="H224" s="325"/>
      <c r="I224" s="326"/>
      <c r="J224" s="346"/>
      <c r="K224" s="346"/>
      <c r="M224" s="440"/>
      <c r="N224" s="307"/>
      <c r="O224" s="342" t="s">
        <v>764</v>
      </c>
      <c r="P224" s="308">
        <f>P218</f>
        <v>5</v>
      </c>
      <c r="Q224" s="1747">
        <v>2647</v>
      </c>
      <c r="R224" s="1675">
        <f>Q224*P224</f>
        <v>13235</v>
      </c>
      <c r="S224" s="344"/>
      <c r="T224" s="318"/>
      <c r="U224" s="2230"/>
      <c r="V224" s="326"/>
      <c r="X224" s="1704">
        <f>P224-C224</f>
        <v>5</v>
      </c>
      <c r="Y224" s="1705">
        <f>Q224-D224</f>
        <v>2647</v>
      </c>
      <c r="Z224" s="1705">
        <f>R224-E224</f>
        <v>13235</v>
      </c>
      <c r="AA224" s="1705">
        <f>F224-S224</f>
        <v>0</v>
      </c>
      <c r="AB224" s="1706">
        <f>T224-F224</f>
        <v>0</v>
      </c>
      <c r="AC224" s="1705">
        <f>U224-H224</f>
        <v>0</v>
      </c>
      <c r="AD224" s="1705">
        <f>V224-I224</f>
        <v>0</v>
      </c>
    </row>
    <row r="225" spans="1:30" s="354" customFormat="1" x14ac:dyDescent="0.2">
      <c r="A225" s="2397"/>
      <c r="B225" s="2310" t="s">
        <v>367</v>
      </c>
      <c r="C225" s="2398"/>
      <c r="D225" s="1640"/>
      <c r="E225" s="1675">
        <f>SUM(E221:E223)</f>
        <v>310894</v>
      </c>
      <c r="F225" s="344"/>
      <c r="G225" s="2200"/>
      <c r="H225" s="2399"/>
      <c r="I225" s="2400"/>
      <c r="J225" s="355"/>
      <c r="K225" s="355"/>
      <c r="N225" s="2397"/>
      <c r="O225" s="2310" t="s">
        <v>367</v>
      </c>
      <c r="P225" s="308"/>
      <c r="Q225" s="1639"/>
      <c r="R225" s="343">
        <f>SUM(R221:R224)</f>
        <v>338985</v>
      </c>
      <c r="S225" s="344"/>
      <c r="T225" s="2200"/>
      <c r="U225" s="2230"/>
      <c r="V225" s="2400"/>
      <c r="X225" s="1704">
        <f t="shared" si="86"/>
        <v>0</v>
      </c>
      <c r="Y225" s="1705">
        <f t="shared" si="87"/>
        <v>0</v>
      </c>
      <c r="Z225" s="343">
        <f>SUM(Z221:Z224)</f>
        <v>28091</v>
      </c>
      <c r="AA225" s="1705">
        <f t="shared" si="89"/>
        <v>0</v>
      </c>
      <c r="AB225" s="1706">
        <f t="shared" si="90"/>
        <v>0</v>
      </c>
      <c r="AC225" s="1705">
        <f t="shared" si="91"/>
        <v>0</v>
      </c>
      <c r="AD225" s="1705">
        <f t="shared" si="92"/>
        <v>0</v>
      </c>
    </row>
    <row r="226" spans="1:30" s="345" customFormat="1" x14ac:dyDescent="0.2">
      <c r="A226" s="307"/>
      <c r="B226" s="2401" t="s">
        <v>368</v>
      </c>
      <c r="C226" s="2395">
        <v>1</v>
      </c>
      <c r="D226" s="1640"/>
      <c r="E226" s="1675"/>
      <c r="F226" s="344"/>
      <c r="G226" s="318"/>
      <c r="H226" s="325"/>
      <c r="I226" s="326"/>
      <c r="K226" s="346"/>
      <c r="N226" s="307"/>
      <c r="O226" s="2401" t="s">
        <v>368</v>
      </c>
      <c r="P226" s="2395">
        <v>1</v>
      </c>
      <c r="Q226" s="1639"/>
      <c r="R226" s="343"/>
      <c r="S226" s="344"/>
      <c r="T226" s="318"/>
      <c r="U226" s="2230"/>
      <c r="V226" s="326"/>
      <c r="X226" s="1704">
        <f t="shared" si="86"/>
        <v>0</v>
      </c>
      <c r="Y226" s="1705">
        <f t="shared" si="87"/>
        <v>0</v>
      </c>
      <c r="Z226" s="1705">
        <f t="shared" si="88"/>
        <v>0</v>
      </c>
      <c r="AA226" s="1705">
        <f t="shared" si="89"/>
        <v>0</v>
      </c>
      <c r="AB226" s="1706">
        <f t="shared" si="90"/>
        <v>0</v>
      </c>
      <c r="AC226" s="1705">
        <f t="shared" si="91"/>
        <v>0</v>
      </c>
      <c r="AD226" s="1705">
        <f t="shared" si="92"/>
        <v>0</v>
      </c>
    </row>
    <row r="227" spans="1:30" s="345" customFormat="1" x14ac:dyDescent="0.2">
      <c r="A227" s="307"/>
      <c r="B227" s="342" t="s">
        <v>369</v>
      </c>
      <c r="C227" s="308">
        <v>45</v>
      </c>
      <c r="D227" s="1640"/>
      <c r="E227" s="1675"/>
      <c r="F227" s="344"/>
      <c r="G227" s="318"/>
      <c r="H227" s="325"/>
      <c r="I227" s="326"/>
      <c r="K227" s="346"/>
      <c r="N227" s="307"/>
      <c r="O227" s="342" t="s">
        <v>369</v>
      </c>
      <c r="P227" s="308">
        <v>45</v>
      </c>
      <c r="Q227" s="1639"/>
      <c r="R227" s="343"/>
      <c r="S227" s="344"/>
      <c r="T227" s="318"/>
      <c r="U227" s="325"/>
      <c r="V227" s="326"/>
      <c r="X227" s="1704">
        <f t="shared" si="86"/>
        <v>0</v>
      </c>
      <c r="Y227" s="1705">
        <f t="shared" si="87"/>
        <v>0</v>
      </c>
      <c r="Z227" s="1705">
        <f t="shared" si="88"/>
        <v>0</v>
      </c>
      <c r="AA227" s="1705">
        <f t="shared" si="89"/>
        <v>0</v>
      </c>
      <c r="AB227" s="1706">
        <f t="shared" si="90"/>
        <v>0</v>
      </c>
      <c r="AC227" s="1705">
        <f t="shared" si="91"/>
        <v>0</v>
      </c>
      <c r="AD227" s="1705">
        <f t="shared" si="92"/>
        <v>0</v>
      </c>
    </row>
    <row r="228" spans="1:30" s="345" customFormat="1" x14ac:dyDescent="0.2">
      <c r="A228" s="307"/>
      <c r="B228" s="342" t="s">
        <v>370</v>
      </c>
      <c r="C228" s="308">
        <f>C227*6*C226</f>
        <v>270</v>
      </c>
      <c r="D228" s="1640">
        <f>380</f>
        <v>380</v>
      </c>
      <c r="E228" s="1675">
        <f>D228*C228</f>
        <v>102600</v>
      </c>
      <c r="F228" s="344"/>
      <c r="G228" s="318"/>
      <c r="H228" s="325"/>
      <c r="I228" s="326"/>
      <c r="K228" s="346"/>
      <c r="N228" s="307"/>
      <c r="O228" s="342" t="s">
        <v>370</v>
      </c>
      <c r="P228" s="308">
        <f>P227*6*P226</f>
        <v>270</v>
      </c>
      <c r="Q228" s="1640">
        <v>380</v>
      </c>
      <c r="R228" s="1675">
        <f>Q228*P228</f>
        <v>102600</v>
      </c>
      <c r="S228" s="344"/>
      <c r="T228" s="318"/>
      <c r="U228" s="325"/>
      <c r="V228" s="326"/>
      <c r="X228" s="1704">
        <f t="shared" si="86"/>
        <v>0</v>
      </c>
      <c r="Y228" s="1705">
        <f t="shared" si="87"/>
        <v>0</v>
      </c>
      <c r="Z228" s="1705">
        <f t="shared" si="88"/>
        <v>0</v>
      </c>
      <c r="AA228" s="1705">
        <f t="shared" si="89"/>
        <v>0</v>
      </c>
      <c r="AB228" s="1706">
        <f t="shared" si="90"/>
        <v>0</v>
      </c>
      <c r="AC228" s="1705">
        <f t="shared" si="91"/>
        <v>0</v>
      </c>
      <c r="AD228" s="1705">
        <f t="shared" si="92"/>
        <v>0</v>
      </c>
    </row>
    <row r="229" spans="1:30" s="345" customFormat="1" ht="51" x14ac:dyDescent="0.2">
      <c r="A229" s="307"/>
      <c r="B229" s="342" t="s">
        <v>859</v>
      </c>
      <c r="C229" s="308">
        <v>1</v>
      </c>
      <c r="D229" s="1640">
        <v>12500</v>
      </c>
      <c r="E229" s="1675">
        <f>D229*C229</f>
        <v>12500</v>
      </c>
      <c r="F229" s="344"/>
      <c r="G229" s="318"/>
      <c r="H229" s="325"/>
      <c r="I229" s="326"/>
      <c r="K229" s="346"/>
      <c r="N229" s="307"/>
      <c r="O229" s="342" t="s">
        <v>859</v>
      </c>
      <c r="P229" s="308">
        <v>1</v>
      </c>
      <c r="Q229" s="1640">
        <v>12500</v>
      </c>
      <c r="R229" s="1675">
        <f>Q229*P229</f>
        <v>12500</v>
      </c>
      <c r="S229" s="344"/>
      <c r="T229" s="318"/>
      <c r="U229" s="325"/>
      <c r="V229" s="326"/>
      <c r="W229" s="440"/>
      <c r="X229" s="1704">
        <f t="shared" si="86"/>
        <v>0</v>
      </c>
      <c r="Y229" s="1705">
        <f t="shared" si="87"/>
        <v>0</v>
      </c>
      <c r="Z229" s="1705">
        <f t="shared" si="88"/>
        <v>0</v>
      </c>
      <c r="AA229" s="1705">
        <f t="shared" si="89"/>
        <v>0</v>
      </c>
      <c r="AB229" s="1706">
        <f t="shared" si="90"/>
        <v>0</v>
      </c>
      <c r="AC229" s="1705">
        <f t="shared" si="91"/>
        <v>0</v>
      </c>
      <c r="AD229" s="1705">
        <f t="shared" si="92"/>
        <v>0</v>
      </c>
    </row>
    <row r="230" spans="1:30" s="345" customFormat="1" x14ac:dyDescent="0.2">
      <c r="A230" s="307"/>
      <c r="B230" s="342" t="s">
        <v>371</v>
      </c>
      <c r="C230" s="308">
        <v>40</v>
      </c>
      <c r="D230" s="1640">
        <f>600*J1</f>
        <v>2280</v>
      </c>
      <c r="E230" s="1675">
        <f>D230*C230</f>
        <v>91200</v>
      </c>
      <c r="F230" s="344"/>
      <c r="G230" s="318"/>
      <c r="H230" s="325"/>
      <c r="I230" s="326"/>
      <c r="K230" s="346"/>
      <c r="M230" s="440"/>
      <c r="N230" s="307"/>
      <c r="O230" s="342" t="s">
        <v>371</v>
      </c>
      <c r="P230" s="308">
        <f>40*P226</f>
        <v>40</v>
      </c>
      <c r="Q230" s="1640">
        <v>2280</v>
      </c>
      <c r="R230" s="1675">
        <f>Q230*P230</f>
        <v>91200</v>
      </c>
      <c r="S230" s="344"/>
      <c r="T230" s="318"/>
      <c r="U230" s="325"/>
      <c r="V230" s="326"/>
      <c r="X230" s="1704">
        <f t="shared" si="86"/>
        <v>0</v>
      </c>
      <c r="Y230" s="1705">
        <f t="shared" si="87"/>
        <v>0</v>
      </c>
      <c r="Z230" s="1705">
        <f t="shared" si="88"/>
        <v>0</v>
      </c>
      <c r="AA230" s="1705">
        <f t="shared" si="89"/>
        <v>0</v>
      </c>
      <c r="AB230" s="1706">
        <f t="shared" si="90"/>
        <v>0</v>
      </c>
      <c r="AC230" s="1705">
        <f t="shared" si="91"/>
        <v>0</v>
      </c>
      <c r="AD230" s="1705">
        <f t="shared" si="92"/>
        <v>0</v>
      </c>
    </row>
    <row r="231" spans="1:30" s="354" customFormat="1" x14ac:dyDescent="0.2">
      <c r="A231" s="347"/>
      <c r="B231" s="348" t="s">
        <v>372</v>
      </c>
      <c r="C231" s="349"/>
      <c r="D231" s="1644"/>
      <c r="E231" s="2402">
        <f>SUM(E228:E230)</f>
        <v>206300</v>
      </c>
      <c r="F231" s="350"/>
      <c r="G231" s="351"/>
      <c r="H231" s="352"/>
      <c r="I231" s="353"/>
      <c r="K231" s="355"/>
      <c r="N231" s="2397"/>
      <c r="O231" s="2310" t="s">
        <v>372</v>
      </c>
      <c r="P231" s="2398"/>
      <c r="Q231" s="1639"/>
      <c r="R231" s="343">
        <f>SUM(R228:R230)</f>
        <v>206300</v>
      </c>
      <c r="S231" s="344"/>
      <c r="T231" s="2200"/>
      <c r="U231" s="2399"/>
      <c r="V231" s="2400"/>
      <c r="X231" s="1704">
        <f t="shared" si="86"/>
        <v>0</v>
      </c>
      <c r="Y231" s="1705">
        <f t="shared" si="87"/>
        <v>0</v>
      </c>
      <c r="Z231" s="1705">
        <f t="shared" si="88"/>
        <v>0</v>
      </c>
      <c r="AA231" s="1705">
        <f t="shared" si="89"/>
        <v>0</v>
      </c>
      <c r="AB231" s="1706">
        <f t="shared" si="90"/>
        <v>0</v>
      </c>
      <c r="AC231" s="1705">
        <f t="shared" si="91"/>
        <v>0</v>
      </c>
      <c r="AD231" s="1705">
        <f t="shared" si="92"/>
        <v>0</v>
      </c>
    </row>
    <row r="232" spans="1:30" s="345" customFormat="1" ht="13.5" customHeight="1" thickBot="1" x14ac:dyDescent="0.25">
      <c r="A232" s="2270"/>
      <c r="B232" s="2271" t="s">
        <v>13</v>
      </c>
      <c r="C232" s="2272"/>
      <c r="D232" s="2273"/>
      <c r="E232" s="2274">
        <f>E231+E225</f>
        <v>517194</v>
      </c>
      <c r="F232" s="2274"/>
      <c r="G232" s="1790"/>
      <c r="H232" s="1790"/>
      <c r="I232" s="1791">
        <v>0</v>
      </c>
      <c r="J232" s="346">
        <v>517194</v>
      </c>
      <c r="K232" s="346"/>
      <c r="N232" s="2688"/>
      <c r="O232" s="2488" t="s">
        <v>13</v>
      </c>
      <c r="P232" s="2685"/>
      <c r="Q232" s="2686"/>
      <c r="R232" s="2687">
        <f>R231+R225</f>
        <v>545285</v>
      </c>
      <c r="S232" s="2687">
        <f>S231+S225</f>
        <v>0</v>
      </c>
      <c r="T232" s="318"/>
      <c r="U232" s="318"/>
      <c r="V232" s="1860">
        <v>0</v>
      </c>
      <c r="X232" s="2272"/>
      <c r="Y232" s="2272"/>
      <c r="Z232" s="2274">
        <f>Z231+Z225</f>
        <v>28091</v>
      </c>
      <c r="AA232" s="2274">
        <f>AA231+AA225</f>
        <v>0</v>
      </c>
      <c r="AB232" s="1790"/>
      <c r="AC232" s="1790"/>
      <c r="AD232" s="1791">
        <v>0</v>
      </c>
    </row>
    <row r="233" spans="1:30" s="345" customFormat="1" ht="13.5" customHeight="1" thickBot="1" x14ac:dyDescent="0.25">
      <c r="A233" s="346"/>
      <c r="B233" s="346" t="s">
        <v>373</v>
      </c>
      <c r="C233" s="346"/>
      <c r="D233" s="2403"/>
      <c r="E233" s="2404"/>
      <c r="F233" s="2404"/>
      <c r="G233" s="2404"/>
      <c r="H233" s="2404"/>
      <c r="I233" s="2404"/>
      <c r="J233" s="346"/>
      <c r="K233" s="346"/>
      <c r="N233" s="2742"/>
      <c r="O233" s="2743" t="s">
        <v>373</v>
      </c>
      <c r="P233" s="2635"/>
      <c r="Q233" s="2744"/>
      <c r="R233" s="2747">
        <f>R232-'[4]פרוט (3)'!$V$239</f>
        <v>-11400</v>
      </c>
      <c r="S233" s="2635"/>
      <c r="T233" s="2635"/>
      <c r="U233" s="2635"/>
      <c r="V233" s="2745"/>
    </row>
    <row r="234" spans="1:30" s="345" customFormat="1" ht="13.5" customHeight="1" thickBot="1" x14ac:dyDescent="0.25">
      <c r="A234" s="346"/>
      <c r="B234" s="346"/>
      <c r="C234" s="346"/>
      <c r="D234" s="2403"/>
      <c r="E234" s="2404">
        <f>-E232+'[2]חמ"ע'!$E$264</f>
        <v>0</v>
      </c>
      <c r="F234" s="2404"/>
      <c r="G234" s="2404"/>
      <c r="H234" s="2404"/>
      <c r="I234" s="2404"/>
      <c r="J234" s="346"/>
      <c r="K234" s="346"/>
      <c r="Q234" s="2148"/>
      <c r="R234" s="2351">
        <f>-R232+'[2]חמ"ע'!$R$264</f>
        <v>10944</v>
      </c>
    </row>
    <row r="235" spans="1:30" s="345" customFormat="1" ht="13.5" customHeight="1" x14ac:dyDescent="0.2">
      <c r="A235" s="2405">
        <v>6.3</v>
      </c>
      <c r="B235" s="2365" t="s">
        <v>10</v>
      </c>
      <c r="C235" s="3186" t="s">
        <v>104</v>
      </c>
      <c r="D235" s="3186"/>
      <c r="E235" s="3186"/>
      <c r="F235" s="2278"/>
      <c r="G235" s="2279"/>
      <c r="H235" s="3189" t="s">
        <v>88</v>
      </c>
      <c r="I235" s="3190"/>
      <c r="J235" s="346"/>
      <c r="K235" s="346"/>
      <c r="N235" s="2405">
        <v>6.3</v>
      </c>
      <c r="O235" s="2365" t="s">
        <v>10</v>
      </c>
      <c r="P235" s="3207" t="s">
        <v>812</v>
      </c>
      <c r="Q235" s="3208"/>
      <c r="R235" s="3209"/>
      <c r="S235" s="2151"/>
      <c r="T235" s="2279"/>
      <c r="U235" s="3189" t="s">
        <v>88</v>
      </c>
      <c r="V235" s="3190"/>
      <c r="X235" s="3188" t="s">
        <v>506</v>
      </c>
      <c r="Y235" s="3186"/>
      <c r="Z235" s="3186"/>
      <c r="AA235" s="2151"/>
      <c r="AB235" s="2153"/>
      <c r="AC235" s="3189" t="s">
        <v>88</v>
      </c>
      <c r="AD235" s="3190"/>
    </row>
    <row r="236" spans="1:30" s="345" customFormat="1" ht="25.5" x14ac:dyDescent="0.2">
      <c r="A236" s="2154"/>
      <c r="B236" s="2155" t="s">
        <v>89</v>
      </c>
      <c r="C236" s="2155" t="s">
        <v>54</v>
      </c>
      <c r="D236" s="2156" t="s">
        <v>91</v>
      </c>
      <c r="E236" s="2155" t="s">
        <v>92</v>
      </c>
      <c r="F236" s="2155"/>
      <c r="G236" s="357"/>
      <c r="H236" s="2155" t="s">
        <v>54</v>
      </c>
      <c r="I236" s="2157" t="s">
        <v>92</v>
      </c>
      <c r="J236" s="346"/>
      <c r="K236" s="346"/>
      <c r="N236" s="2154"/>
      <c r="O236" s="2155" t="s">
        <v>89</v>
      </c>
      <c r="P236" s="2155" t="s">
        <v>54</v>
      </c>
      <c r="Q236" s="2156" t="s">
        <v>91</v>
      </c>
      <c r="R236" s="2155" t="s">
        <v>92</v>
      </c>
      <c r="S236" s="2155"/>
      <c r="T236" s="357"/>
      <c r="U236" s="2155" t="s">
        <v>54</v>
      </c>
      <c r="V236" s="2157" t="s">
        <v>92</v>
      </c>
      <c r="X236" s="2154" t="s">
        <v>90</v>
      </c>
      <c r="Y236" s="2155" t="s">
        <v>91</v>
      </c>
      <c r="Z236" s="2158" t="s">
        <v>507</v>
      </c>
      <c r="AA236" s="2158"/>
      <c r="AB236" s="2161"/>
      <c r="AC236" s="2162" t="s">
        <v>54</v>
      </c>
      <c r="AD236" s="2163" t="s">
        <v>507</v>
      </c>
    </row>
    <row r="237" spans="1:30" s="354" customFormat="1" ht="13.5" customHeight="1" x14ac:dyDescent="0.2">
      <c r="A237" s="2261"/>
      <c r="B237" s="2406" t="s">
        <v>374</v>
      </c>
      <c r="C237" s="344">
        <v>5</v>
      </c>
      <c r="D237" s="2407"/>
      <c r="E237" s="2293"/>
      <c r="F237" s="2293"/>
      <c r="G237" s="2408"/>
      <c r="H237" s="358"/>
      <c r="I237" s="359"/>
      <c r="J237" s="355"/>
      <c r="K237" s="355"/>
      <c r="N237" s="2261"/>
      <c r="O237" s="2406" t="s">
        <v>374</v>
      </c>
      <c r="P237" s="344">
        <v>5</v>
      </c>
      <c r="Q237" s="2407"/>
      <c r="R237" s="2293"/>
      <c r="S237" s="2293"/>
      <c r="T237" s="2408"/>
      <c r="U237" s="358"/>
      <c r="V237" s="359"/>
      <c r="X237" s="1841">
        <f t="shared" ref="X237:Z240" si="93">P237-C237</f>
        <v>0</v>
      </c>
      <c r="Y237" s="2409">
        <f t="shared" si="93"/>
        <v>0</v>
      </c>
      <c r="Z237" s="2409">
        <f t="shared" si="93"/>
        <v>0</v>
      </c>
      <c r="AA237" s="2409">
        <f>F237-S237</f>
        <v>0</v>
      </c>
      <c r="AB237" s="2224">
        <f>T237-F237</f>
        <v>0</v>
      </c>
      <c r="AC237" s="2409">
        <f t="shared" ref="AC237:AD240" si="94">U237-H237</f>
        <v>0</v>
      </c>
      <c r="AD237" s="2409">
        <f t="shared" si="94"/>
        <v>0</v>
      </c>
    </row>
    <row r="238" spans="1:30" s="354" customFormat="1" ht="13.5" customHeight="1" x14ac:dyDescent="0.2">
      <c r="A238" s="2261"/>
      <c r="B238" s="2406" t="s">
        <v>375</v>
      </c>
      <c r="C238" s="344">
        <v>30</v>
      </c>
      <c r="D238" s="2407"/>
      <c r="E238" s="2293"/>
      <c r="F238" s="2293"/>
      <c r="G238" s="2408"/>
      <c r="H238" s="358"/>
      <c r="I238" s="359"/>
      <c r="J238" s="355"/>
      <c r="K238" s="355"/>
      <c r="N238" s="2261"/>
      <c r="O238" s="2406" t="s">
        <v>375</v>
      </c>
      <c r="P238" s="344">
        <v>30</v>
      </c>
      <c r="Q238" s="2407"/>
      <c r="R238" s="2293"/>
      <c r="S238" s="2293"/>
      <c r="T238" s="2408"/>
      <c r="U238" s="358"/>
      <c r="V238" s="359"/>
      <c r="X238" s="1841">
        <f t="shared" si="93"/>
        <v>0</v>
      </c>
      <c r="Y238" s="2409">
        <f t="shared" si="93"/>
        <v>0</v>
      </c>
      <c r="Z238" s="2409">
        <f t="shared" si="93"/>
        <v>0</v>
      </c>
      <c r="AA238" s="2409">
        <f>F238-S238</f>
        <v>0</v>
      </c>
      <c r="AB238" s="2224">
        <f>T238-F238</f>
        <v>0</v>
      </c>
      <c r="AC238" s="2409">
        <f t="shared" si="94"/>
        <v>0</v>
      </c>
      <c r="AD238" s="2409">
        <f t="shared" si="94"/>
        <v>0</v>
      </c>
    </row>
    <row r="239" spans="1:30" s="345" customFormat="1" ht="13.5" customHeight="1" x14ac:dyDescent="0.2">
      <c r="A239" s="360"/>
      <c r="B239" s="361" t="s">
        <v>860</v>
      </c>
      <c r="C239" s="362">
        <f>C237</f>
        <v>5</v>
      </c>
      <c r="D239" s="1747">
        <v>2300</v>
      </c>
      <c r="E239" s="338">
        <f>D239*C239</f>
        <v>11500</v>
      </c>
      <c r="F239" s="309"/>
      <c r="G239" s="357"/>
      <c r="H239" s="358"/>
      <c r="I239" s="359"/>
      <c r="J239" s="346"/>
      <c r="K239" s="346"/>
      <c r="N239" s="360">
        <v>100</v>
      </c>
      <c r="O239" s="361" t="s">
        <v>860</v>
      </c>
      <c r="P239" s="362">
        <f>P237</f>
        <v>5</v>
      </c>
      <c r="Q239" s="1747">
        <v>2300</v>
      </c>
      <c r="R239" s="338">
        <f>Q239*P239</f>
        <v>11500</v>
      </c>
      <c r="S239" s="309"/>
      <c r="T239" s="357"/>
      <c r="U239" s="358"/>
      <c r="V239" s="359"/>
      <c r="X239" s="1704">
        <f t="shared" si="93"/>
        <v>0</v>
      </c>
      <c r="Y239" s="1705">
        <f t="shared" si="93"/>
        <v>0</v>
      </c>
      <c r="Z239" s="1705">
        <f t="shared" si="93"/>
        <v>0</v>
      </c>
      <c r="AA239" s="1705">
        <f>F239-S239</f>
        <v>0</v>
      </c>
      <c r="AB239" s="1706">
        <f>T239-F239</f>
        <v>0</v>
      </c>
      <c r="AC239" s="1705">
        <f t="shared" si="94"/>
        <v>0</v>
      </c>
      <c r="AD239" s="1705">
        <f t="shared" si="94"/>
        <v>0</v>
      </c>
    </row>
    <row r="240" spans="1:30" s="345" customFormat="1" ht="13.5" customHeight="1" x14ac:dyDescent="0.2">
      <c r="A240" s="360"/>
      <c r="B240" s="361" t="s">
        <v>376</v>
      </c>
      <c r="C240" s="362">
        <v>0</v>
      </c>
      <c r="D240" s="1747"/>
      <c r="E240" s="338">
        <v>0</v>
      </c>
      <c r="F240" s="309"/>
      <c r="G240" s="357"/>
      <c r="H240" s="358"/>
      <c r="I240" s="359"/>
      <c r="J240" s="346"/>
      <c r="K240" s="346"/>
      <c r="N240" s="360"/>
      <c r="O240" s="361" t="s">
        <v>376</v>
      </c>
      <c r="P240" s="362">
        <v>0</v>
      </c>
      <c r="Q240" s="1747"/>
      <c r="R240" s="338">
        <f>Q240*P240</f>
        <v>0</v>
      </c>
      <c r="S240" s="309"/>
      <c r="T240" s="357"/>
      <c r="U240" s="358"/>
      <c r="V240" s="359"/>
      <c r="X240" s="1704">
        <f t="shared" si="93"/>
        <v>0</v>
      </c>
      <c r="Y240" s="1705">
        <f t="shared" si="93"/>
        <v>0</v>
      </c>
      <c r="Z240" s="1705">
        <f t="shared" si="93"/>
        <v>0</v>
      </c>
      <c r="AA240" s="1705">
        <f>F240-S240</f>
        <v>0</v>
      </c>
      <c r="AB240" s="1706">
        <f>T240-F240</f>
        <v>0</v>
      </c>
      <c r="AC240" s="1705">
        <f t="shared" si="94"/>
        <v>0</v>
      </c>
      <c r="AD240" s="1705">
        <f t="shared" si="94"/>
        <v>0</v>
      </c>
    </row>
    <row r="241" spans="1:30" s="1756" customFormat="1" ht="13.5" customHeight="1" thickBot="1" x14ac:dyDescent="0.25">
      <c r="A241" s="1748"/>
      <c r="B241" s="1749"/>
      <c r="C241" s="1750"/>
      <c r="D241" s="1751"/>
      <c r="E241" s="1752">
        <f>SUM(E239:E240)</f>
        <v>11500</v>
      </c>
      <c r="F241" s="1752"/>
      <c r="G241" s="1753"/>
      <c r="H241" s="1753"/>
      <c r="I241" s="1754">
        <v>0</v>
      </c>
      <c r="J241" s="346">
        <v>11500</v>
      </c>
      <c r="K241" s="1755"/>
      <c r="N241" s="1748"/>
      <c r="O241" s="1749"/>
      <c r="P241" s="1750"/>
      <c r="Q241" s="1751"/>
      <c r="R241" s="1752">
        <f>SUM(R239:R240)</f>
        <v>11500</v>
      </c>
      <c r="S241" s="1752"/>
      <c r="T241" s="1753"/>
      <c r="U241" s="1753"/>
      <c r="V241" s="1754">
        <v>0</v>
      </c>
      <c r="X241" s="1750"/>
      <c r="Y241" s="1750"/>
      <c r="Z241" s="1752">
        <f>SUM(Z239:Z240)</f>
        <v>0</v>
      </c>
      <c r="AA241" s="1752"/>
      <c r="AB241" s="1753"/>
      <c r="AC241" s="1753"/>
      <c r="AD241" s="1754">
        <v>0</v>
      </c>
    </row>
    <row r="242" spans="1:30" s="345" customFormat="1" ht="13.5" customHeight="1" x14ac:dyDescent="0.2">
      <c r="A242" s="346"/>
      <c r="B242" s="346"/>
      <c r="C242" s="346"/>
      <c r="D242" s="2148"/>
      <c r="E242" s="346"/>
      <c r="F242" s="346"/>
      <c r="G242" s="346"/>
      <c r="H242" s="346"/>
      <c r="I242" s="346"/>
      <c r="J242" s="346"/>
      <c r="K242" s="346"/>
      <c r="Q242" s="2148"/>
      <c r="R242" s="2351"/>
    </row>
    <row r="243" spans="1:30" s="345" customFormat="1" ht="13.5" customHeight="1" thickBot="1" x14ac:dyDescent="0.25">
      <c r="A243" s="346"/>
      <c r="B243" s="346"/>
      <c r="C243" s="346"/>
      <c r="D243" s="2148"/>
      <c r="E243" s="346"/>
      <c r="F243" s="346"/>
      <c r="G243" s="346"/>
      <c r="H243" s="346"/>
      <c r="I243" s="346"/>
      <c r="J243" s="346"/>
      <c r="K243" s="346"/>
      <c r="Q243" s="2148"/>
      <c r="R243" s="2351"/>
    </row>
    <row r="244" spans="1:30" ht="30" customHeight="1" x14ac:dyDescent="0.2">
      <c r="A244" s="2410">
        <v>6.4</v>
      </c>
      <c r="B244" s="2365" t="s">
        <v>11</v>
      </c>
      <c r="C244" s="3186" t="s">
        <v>104</v>
      </c>
      <c r="D244" s="3186"/>
      <c r="E244" s="3186"/>
      <c r="F244" s="2278"/>
      <c r="G244" s="2279"/>
      <c r="H244" s="3189" t="s">
        <v>88</v>
      </c>
      <c r="I244" s="3190"/>
      <c r="N244" s="2410">
        <v>6.4</v>
      </c>
      <c r="O244" s="2365" t="s">
        <v>11</v>
      </c>
      <c r="P244" s="3185" t="s">
        <v>812</v>
      </c>
      <c r="Q244" s="3186"/>
      <c r="R244" s="3186"/>
      <c r="S244" s="2151"/>
      <c r="T244" s="2279"/>
      <c r="U244" s="3189" t="s">
        <v>88</v>
      </c>
      <c r="V244" s="3190"/>
      <c r="X244" s="3188" t="s">
        <v>506</v>
      </c>
      <c r="Y244" s="3186"/>
      <c r="Z244" s="3186"/>
      <c r="AA244" s="2151"/>
      <c r="AB244" s="2153"/>
      <c r="AC244" s="3189" t="s">
        <v>88</v>
      </c>
      <c r="AD244" s="3190"/>
    </row>
    <row r="245" spans="1:30" ht="25.5" x14ac:dyDescent="0.2">
      <c r="A245" s="2154"/>
      <c r="B245" s="2155" t="s">
        <v>89</v>
      </c>
      <c r="C245" s="2155" t="s">
        <v>54</v>
      </c>
      <c r="D245" s="2156" t="s">
        <v>91</v>
      </c>
      <c r="E245" s="2155" t="s">
        <v>92</v>
      </c>
      <c r="F245" s="2155"/>
      <c r="G245" s="357"/>
      <c r="H245" s="2155" t="s">
        <v>54</v>
      </c>
      <c r="I245" s="2157" t="s">
        <v>207</v>
      </c>
      <c r="N245" s="2154"/>
      <c r="O245" s="2155" t="s">
        <v>89</v>
      </c>
      <c r="P245" s="2155" t="s">
        <v>54</v>
      </c>
      <c r="Q245" s="2156" t="s">
        <v>91</v>
      </c>
      <c r="R245" s="2155" t="s">
        <v>92</v>
      </c>
      <c r="S245" s="2155"/>
      <c r="T245" s="357"/>
      <c r="U245" s="2155" t="s">
        <v>54</v>
      </c>
      <c r="V245" s="2157" t="s">
        <v>207</v>
      </c>
      <c r="X245" s="2154" t="s">
        <v>90</v>
      </c>
      <c r="Y245" s="2155" t="s">
        <v>91</v>
      </c>
      <c r="Z245" s="2158" t="s">
        <v>507</v>
      </c>
      <c r="AA245" s="2158"/>
      <c r="AB245" s="2161"/>
      <c r="AC245" s="2162" t="s">
        <v>54</v>
      </c>
      <c r="AD245" s="2163" t="s">
        <v>507</v>
      </c>
    </row>
    <row r="246" spans="1:30" s="2220" customFormat="1" x14ac:dyDescent="0.2">
      <c r="A246" s="2261"/>
      <c r="B246" s="2198" t="s">
        <v>377</v>
      </c>
      <c r="C246" s="344">
        <v>1</v>
      </c>
      <c r="D246" s="2407"/>
      <c r="E246" s="2293"/>
      <c r="F246" s="2293"/>
      <c r="G246" s="2408"/>
      <c r="H246" s="2411">
        <v>1</v>
      </c>
      <c r="I246" s="2412"/>
      <c r="J246" s="2225"/>
      <c r="K246" s="2225"/>
      <c r="N246" s="2261"/>
      <c r="O246" s="2198" t="s">
        <v>377</v>
      </c>
      <c r="P246" s="344">
        <v>2</v>
      </c>
      <c r="Q246" s="2407"/>
      <c r="R246" s="2293"/>
      <c r="S246" s="2293"/>
      <c r="T246" s="2408"/>
      <c r="U246" s="2411">
        <v>1</v>
      </c>
      <c r="V246" s="2412"/>
      <c r="X246" s="1841">
        <f t="shared" ref="X246:Z250" si="95">P246-C246</f>
        <v>1</v>
      </c>
      <c r="Y246" s="2409">
        <f t="shared" si="95"/>
        <v>0</v>
      </c>
      <c r="Z246" s="2409">
        <f t="shared" si="95"/>
        <v>0</v>
      </c>
      <c r="AA246" s="2409">
        <f>F246-S246</f>
        <v>0</v>
      </c>
      <c r="AB246" s="2224">
        <f>T246-F246</f>
        <v>0</v>
      </c>
      <c r="AC246" s="2409">
        <f t="shared" ref="AC246:AD250" si="96">U246-H246</f>
        <v>0</v>
      </c>
      <c r="AD246" s="2409">
        <f t="shared" si="96"/>
        <v>0</v>
      </c>
    </row>
    <row r="247" spans="1:30" s="2220" customFormat="1" ht="25.5" x14ac:dyDescent="0.2">
      <c r="A247" s="2261"/>
      <c r="B247" s="2198" t="s">
        <v>378</v>
      </c>
      <c r="C247" s="344">
        <v>50</v>
      </c>
      <c r="D247" s="2407"/>
      <c r="E247" s="2293"/>
      <c r="F247" s="2293"/>
      <c r="G247" s="2408"/>
      <c r="H247" s="2411">
        <v>50</v>
      </c>
      <c r="I247" s="2412"/>
      <c r="J247" s="2225"/>
      <c r="K247" s="2225"/>
      <c r="N247" s="2261"/>
      <c r="O247" s="2198" t="s">
        <v>378</v>
      </c>
      <c r="P247" s="344">
        <v>50</v>
      </c>
      <c r="Q247" s="2407"/>
      <c r="R247" s="2293"/>
      <c r="S247" s="2293"/>
      <c r="T247" s="2408"/>
      <c r="U247" s="2411">
        <v>50</v>
      </c>
      <c r="V247" s="2412"/>
      <c r="X247" s="1841">
        <f t="shared" si="95"/>
        <v>0</v>
      </c>
      <c r="Y247" s="2409">
        <f t="shared" si="95"/>
        <v>0</v>
      </c>
      <c r="Z247" s="2409">
        <f t="shared" si="95"/>
        <v>0</v>
      </c>
      <c r="AA247" s="2409">
        <f>F247-S247</f>
        <v>0</v>
      </c>
      <c r="AB247" s="2224">
        <f>T247-F247</f>
        <v>0</v>
      </c>
      <c r="AC247" s="2409">
        <f t="shared" si="96"/>
        <v>0</v>
      </c>
      <c r="AD247" s="2409">
        <f t="shared" si="96"/>
        <v>0</v>
      </c>
    </row>
    <row r="248" spans="1:30" x14ac:dyDescent="0.2">
      <c r="A248" s="360"/>
      <c r="B248" s="1837" t="s">
        <v>379</v>
      </c>
      <c r="C248" s="309">
        <f>C247*2.5*C246</f>
        <v>125</v>
      </c>
      <c r="D248" s="1641">
        <f>380</f>
        <v>380</v>
      </c>
      <c r="E248" s="338">
        <f>D248*C248</f>
        <v>47500</v>
      </c>
      <c r="F248" s="338"/>
      <c r="G248" s="357"/>
      <c r="H248" s="338">
        <f>H247*2.5*H246</f>
        <v>125</v>
      </c>
      <c r="I248" s="2413">
        <f>J150*H248</f>
        <v>0</v>
      </c>
      <c r="N248" s="360"/>
      <c r="O248" s="1837" t="s">
        <v>379</v>
      </c>
      <c r="P248" s="309">
        <f>P247*2.5*P246</f>
        <v>250</v>
      </c>
      <c r="Q248" s="1641">
        <f>380</f>
        <v>380</v>
      </c>
      <c r="R248" s="338">
        <f>Q248*P248</f>
        <v>95000</v>
      </c>
      <c r="S248" s="338"/>
      <c r="T248" s="357"/>
      <c r="U248" s="309">
        <f>U247*2.5*U246</f>
        <v>125</v>
      </c>
      <c r="V248" s="2413">
        <f>U248*Q248</f>
        <v>47500</v>
      </c>
      <c r="X248" s="1704">
        <f t="shared" si="95"/>
        <v>125</v>
      </c>
      <c r="Y248" s="1705">
        <f t="shared" si="95"/>
        <v>0</v>
      </c>
      <c r="Z248" s="1705">
        <f t="shared" si="95"/>
        <v>47500</v>
      </c>
      <c r="AA248" s="1705">
        <f>F248-S248</f>
        <v>0</v>
      </c>
      <c r="AB248" s="1706">
        <f>T248-F248</f>
        <v>0</v>
      </c>
      <c r="AC248" s="1705">
        <f t="shared" si="96"/>
        <v>0</v>
      </c>
      <c r="AD248" s="1705">
        <f t="shared" si="96"/>
        <v>47500</v>
      </c>
    </row>
    <row r="249" spans="1:30" ht="25.5" x14ac:dyDescent="0.2">
      <c r="A249" s="2392"/>
      <c r="B249" s="1837" t="s">
        <v>861</v>
      </c>
      <c r="C249" s="309">
        <f>C246</f>
        <v>1</v>
      </c>
      <c r="D249" s="1641">
        <v>8000</v>
      </c>
      <c r="E249" s="338">
        <f>D249*C249</f>
        <v>8000</v>
      </c>
      <c r="F249" s="338"/>
      <c r="G249" s="357"/>
      <c r="H249" s="338">
        <f>H246</f>
        <v>1</v>
      </c>
      <c r="I249" s="2413">
        <f>J151*H249</f>
        <v>0</v>
      </c>
      <c r="N249" s="2392"/>
      <c r="O249" s="1837" t="s">
        <v>861</v>
      </c>
      <c r="P249" s="309">
        <f>P246</f>
        <v>2</v>
      </c>
      <c r="Q249" s="1641">
        <v>8000</v>
      </c>
      <c r="R249" s="338">
        <f>Q249*P249</f>
        <v>16000</v>
      </c>
      <c r="S249" s="338"/>
      <c r="T249" s="357"/>
      <c r="U249" s="309">
        <f>U246</f>
        <v>1</v>
      </c>
      <c r="V249" s="2413">
        <f>U249*Q249</f>
        <v>8000</v>
      </c>
      <c r="W249" s="1847"/>
      <c r="X249" s="1704">
        <f t="shared" si="95"/>
        <v>1</v>
      </c>
      <c r="Y249" s="1705">
        <f t="shared" si="95"/>
        <v>0</v>
      </c>
      <c r="Z249" s="1705">
        <f t="shared" si="95"/>
        <v>8000</v>
      </c>
      <c r="AA249" s="1705">
        <f>F249-S249</f>
        <v>0</v>
      </c>
      <c r="AB249" s="1706">
        <f>T249-F249</f>
        <v>0</v>
      </c>
      <c r="AC249" s="1705">
        <f t="shared" si="96"/>
        <v>0</v>
      </c>
      <c r="AD249" s="1705">
        <f t="shared" si="96"/>
        <v>8000</v>
      </c>
    </row>
    <row r="250" spans="1:30" x14ac:dyDescent="0.2">
      <c r="A250" s="360"/>
      <c r="B250" s="1837" t="s">
        <v>380</v>
      </c>
      <c r="C250" s="309">
        <v>6</v>
      </c>
      <c r="D250" s="2414">
        <f>16*2.5*40*1.2*1.5</f>
        <v>2880</v>
      </c>
      <c r="E250" s="338">
        <f>D250*C250</f>
        <v>17280</v>
      </c>
      <c r="F250" s="338"/>
      <c r="G250" s="357"/>
      <c r="H250" s="338">
        <v>6</v>
      </c>
      <c r="I250" s="2413">
        <f>J154*H250</f>
        <v>0</v>
      </c>
      <c r="N250" s="360"/>
      <c r="O250" s="1837" t="s">
        <v>380</v>
      </c>
      <c r="P250" s="309">
        <f>P246*6</f>
        <v>12</v>
      </c>
      <c r="Q250" s="2414">
        <f>16*2.5*40*1.2*1.5</f>
        <v>2880</v>
      </c>
      <c r="R250" s="338">
        <f>Q250*P250</f>
        <v>34560</v>
      </c>
      <c r="S250" s="338"/>
      <c r="T250" s="357"/>
      <c r="U250" s="309">
        <f>U246*6</f>
        <v>6</v>
      </c>
      <c r="V250" s="2413">
        <f>U250*Q250</f>
        <v>17280</v>
      </c>
      <c r="X250" s="1704">
        <f t="shared" si="95"/>
        <v>6</v>
      </c>
      <c r="Y250" s="1705">
        <f t="shared" si="95"/>
        <v>0</v>
      </c>
      <c r="Z250" s="1705">
        <f t="shared" si="95"/>
        <v>17280</v>
      </c>
      <c r="AA250" s="1705">
        <f>F250-S250</f>
        <v>0</v>
      </c>
      <c r="AB250" s="1706">
        <f>T250-F250</f>
        <v>0</v>
      </c>
      <c r="AC250" s="1705">
        <f t="shared" si="96"/>
        <v>0</v>
      </c>
      <c r="AD250" s="1705">
        <f t="shared" si="96"/>
        <v>17280</v>
      </c>
    </row>
    <row r="251" spans="1:30" ht="13.5" customHeight="1" thickBot="1" x14ac:dyDescent="0.25">
      <c r="A251" s="2415"/>
      <c r="B251" s="2416"/>
      <c r="C251" s="2417"/>
      <c r="D251" s="2418"/>
      <c r="E251" s="1859">
        <f>SUM(E248:E250)</f>
        <v>72780</v>
      </c>
      <c r="F251" s="1859"/>
      <c r="G251" s="318"/>
      <c r="H251" s="318"/>
      <c r="I251" s="1860">
        <f>SUM(I248:I250)</f>
        <v>0</v>
      </c>
      <c r="J251" s="346">
        <v>72780</v>
      </c>
      <c r="N251" s="2415"/>
      <c r="O251" s="2416"/>
      <c r="P251" s="2417"/>
      <c r="Q251" s="2418"/>
      <c r="R251" s="1859">
        <f>SUM(R248:R250)</f>
        <v>145560</v>
      </c>
      <c r="S251" s="1859"/>
      <c r="T251" s="318"/>
      <c r="U251" s="318"/>
      <c r="V251" s="1860">
        <f>SUM(V248:V250)</f>
        <v>72780</v>
      </c>
      <c r="X251" s="1750"/>
      <c r="Y251" s="1750"/>
      <c r="Z251" s="1752">
        <f>SUM(Z248:Z250)</f>
        <v>72780</v>
      </c>
      <c r="AA251" s="1752">
        <f>SUM(AA248:AA250)</f>
        <v>0</v>
      </c>
      <c r="AB251" s="1752">
        <f>SUM(AB248:AB250)</f>
        <v>0</v>
      </c>
      <c r="AC251" s="1752">
        <f>SUM(AC248:AC250)</f>
        <v>0</v>
      </c>
      <c r="AD251" s="1752">
        <f>SUM(AD248:AD250)</f>
        <v>72780</v>
      </c>
    </row>
    <row r="252" spans="1:30" x14ac:dyDescent="0.2">
      <c r="A252" s="2419"/>
      <c r="B252" s="3199" t="s">
        <v>381</v>
      </c>
      <c r="C252" s="3200"/>
      <c r="D252" s="3200"/>
      <c r="E252" s="3200"/>
      <c r="F252" s="3200"/>
      <c r="G252" s="3200"/>
      <c r="H252" s="3200"/>
      <c r="I252" s="3201"/>
      <c r="N252" s="2419"/>
      <c r="O252" s="3210" t="s">
        <v>381</v>
      </c>
      <c r="P252" s="3210"/>
      <c r="Q252" s="3210"/>
      <c r="R252" s="3210"/>
      <c r="S252" s="3210"/>
      <c r="T252" s="3210"/>
      <c r="U252" s="3210"/>
      <c r="V252" s="3211"/>
      <c r="X252" s="345"/>
      <c r="Y252" s="345"/>
      <c r="Z252" s="345"/>
      <c r="AA252" s="345"/>
      <c r="AB252" s="345"/>
      <c r="AC252" s="345"/>
      <c r="AD252" s="345"/>
    </row>
    <row r="253" spans="1:30" s="1718" customFormat="1" ht="13.5" thickBot="1" x14ac:dyDescent="0.25">
      <c r="A253" s="2420"/>
      <c r="B253" s="2421" t="s">
        <v>382</v>
      </c>
      <c r="C253" s="2421"/>
      <c r="D253" s="2422"/>
      <c r="E253" s="2690">
        <f>-E251+'[2]חמ"ע'!$E$286</f>
        <v>0</v>
      </c>
      <c r="F253" s="2421"/>
      <c r="G253" s="2421"/>
      <c r="H253" s="2421"/>
      <c r="I253" s="2423"/>
      <c r="N253" s="2420"/>
      <c r="O253" s="2421" t="s">
        <v>382</v>
      </c>
      <c r="P253" s="2421"/>
      <c r="Q253" s="2422"/>
      <c r="R253" s="2690">
        <f>-R251+'[2]חמ"ע'!$R$286</f>
        <v>0</v>
      </c>
      <c r="S253" s="2421"/>
      <c r="T253" s="2421"/>
      <c r="U253" s="2421"/>
      <c r="V253" s="2691">
        <f>-V251+'[3]פרוט (4)'!$Z$273</f>
        <v>0</v>
      </c>
      <c r="X253" s="345"/>
      <c r="Y253" s="345"/>
      <c r="Z253" s="345"/>
      <c r="AA253" s="345"/>
      <c r="AB253" s="345"/>
      <c r="AC253" s="345"/>
      <c r="AD253" s="345"/>
    </row>
    <row r="254" spans="1:30" s="1718" customFormat="1" ht="13.5" thickBot="1" x14ac:dyDescent="0.25">
      <c r="D254" s="2184"/>
      <c r="K254" s="2260"/>
      <c r="Q254" s="2184"/>
      <c r="X254" s="345"/>
      <c r="Y254" s="345"/>
      <c r="Z254" s="345"/>
      <c r="AA254" s="345"/>
      <c r="AB254" s="345"/>
      <c r="AC254" s="345"/>
      <c r="AD254" s="345"/>
    </row>
    <row r="255" spans="1:30" ht="13.5" customHeight="1" x14ac:dyDescent="0.2">
      <c r="A255" s="2410">
        <v>6.5</v>
      </c>
      <c r="B255" s="2365" t="s">
        <v>12</v>
      </c>
      <c r="C255" s="3186" t="s">
        <v>104</v>
      </c>
      <c r="D255" s="3186"/>
      <c r="E255" s="3186"/>
      <c r="F255" s="2424"/>
      <c r="G255" s="2152"/>
      <c r="H255" s="3186" t="s">
        <v>88</v>
      </c>
      <c r="I255" s="3187"/>
      <c r="N255" s="2410">
        <v>6.5</v>
      </c>
      <c r="O255" s="2365" t="s">
        <v>12</v>
      </c>
      <c r="P255" s="3185" t="s">
        <v>812</v>
      </c>
      <c r="Q255" s="3186"/>
      <c r="R255" s="3186"/>
      <c r="S255" s="2151"/>
      <c r="T255" s="2152"/>
      <c r="U255" s="3186" t="s">
        <v>88</v>
      </c>
      <c r="V255" s="3187"/>
      <c r="X255" s="3188" t="s">
        <v>506</v>
      </c>
      <c r="Y255" s="3186"/>
      <c r="Z255" s="3186"/>
      <c r="AA255" s="2151"/>
      <c r="AB255" s="2153"/>
      <c r="AC255" s="3189" t="s">
        <v>88</v>
      </c>
      <c r="AD255" s="3190"/>
    </row>
    <row r="256" spans="1:30" ht="25.5" x14ac:dyDescent="0.2">
      <c r="A256" s="2425"/>
      <c r="B256" s="2155" t="s">
        <v>89</v>
      </c>
      <c r="C256" s="2426" t="s">
        <v>54</v>
      </c>
      <c r="D256" s="2427" t="s">
        <v>91</v>
      </c>
      <c r="E256" s="2426" t="s">
        <v>92</v>
      </c>
      <c r="F256" s="2426"/>
      <c r="G256" s="357"/>
      <c r="H256" s="2196" t="s">
        <v>92</v>
      </c>
      <c r="I256" s="2319"/>
      <c r="N256" s="2425"/>
      <c r="O256" s="2155" t="s">
        <v>89</v>
      </c>
      <c r="P256" s="2426" t="s">
        <v>54</v>
      </c>
      <c r="Q256" s="2427" t="s">
        <v>91</v>
      </c>
      <c r="R256" s="2426" t="s">
        <v>92</v>
      </c>
      <c r="S256" s="2426"/>
      <c r="T256" s="357"/>
      <c r="U256" s="2196" t="s">
        <v>92</v>
      </c>
      <c r="V256" s="2319"/>
      <c r="X256" s="2154" t="s">
        <v>90</v>
      </c>
      <c r="Y256" s="2155" t="s">
        <v>91</v>
      </c>
      <c r="Z256" s="2158" t="s">
        <v>507</v>
      </c>
      <c r="AA256" s="2158"/>
      <c r="AB256" s="2161"/>
      <c r="AC256" s="2162" t="s">
        <v>54</v>
      </c>
      <c r="AD256" s="2163" t="s">
        <v>507</v>
      </c>
    </row>
    <row r="257" spans="1:30" ht="25.5" x14ac:dyDescent="0.2">
      <c r="A257" s="2428"/>
      <c r="B257" s="342" t="s">
        <v>383</v>
      </c>
      <c r="C257" s="2429">
        <v>15</v>
      </c>
      <c r="D257" s="2430"/>
      <c r="E257" s="339"/>
      <c r="F257" s="339"/>
      <c r="G257" s="318"/>
      <c r="H257" s="2411">
        <v>15</v>
      </c>
      <c r="I257" s="1852"/>
      <c r="N257" s="2428"/>
      <c r="O257" s="342" t="s">
        <v>383</v>
      </c>
      <c r="P257" s="2429">
        <v>22</v>
      </c>
      <c r="Q257" s="2431">
        <f>R270/P257</f>
        <v>24958.76</v>
      </c>
      <c r="R257" s="339"/>
      <c r="S257" s="339"/>
      <c r="T257" s="318"/>
      <c r="U257" s="2429">
        <v>22</v>
      </c>
      <c r="V257" s="1852"/>
      <c r="X257" s="1704">
        <f>P257-C257</f>
        <v>7</v>
      </c>
      <c r="Y257" s="1705">
        <f t="shared" ref="Y257:Y263" si="97">Q257-D257</f>
        <v>24958.76</v>
      </c>
      <c r="Z257" s="1705">
        <f t="shared" ref="Z257:Z263" si="98">R257-E257</f>
        <v>0</v>
      </c>
      <c r="AA257" s="1705">
        <f t="shared" ref="AA257:AA263" si="99">F257-S257</f>
        <v>0</v>
      </c>
      <c r="AB257" s="1706">
        <f t="shared" ref="AB257:AB263" si="100">T257-F257</f>
        <v>0</v>
      </c>
      <c r="AC257" s="1705">
        <f t="shared" ref="AC257:AC263" si="101">U257-H257</f>
        <v>7</v>
      </c>
      <c r="AD257" s="1705">
        <f t="shared" ref="AD257:AD263" si="102">V257-I257</f>
        <v>0</v>
      </c>
    </row>
    <row r="258" spans="1:30" x14ac:dyDescent="0.2">
      <c r="A258" s="2428"/>
      <c r="B258" s="342" t="s">
        <v>384</v>
      </c>
      <c r="C258" s="2429">
        <v>60</v>
      </c>
      <c r="D258" s="2430"/>
      <c r="E258" s="339"/>
      <c r="F258" s="339"/>
      <c r="G258" s="318"/>
      <c r="H258" s="2201">
        <f>+C258</f>
        <v>60</v>
      </c>
      <c r="I258" s="1852"/>
      <c r="N258" s="2428"/>
      <c r="O258" s="342" t="s">
        <v>384</v>
      </c>
      <c r="P258" s="2429">
        <v>60</v>
      </c>
      <c r="Q258" s="2430"/>
      <c r="R258" s="339"/>
      <c r="S258" s="339"/>
      <c r="T258" s="318"/>
      <c r="U258" s="323">
        <f>+P258</f>
        <v>60</v>
      </c>
      <c r="V258" s="1852"/>
      <c r="X258" s="1704">
        <f t="shared" ref="X258:X263" si="103">P258-C258</f>
        <v>0</v>
      </c>
      <c r="Y258" s="1705">
        <f t="shared" si="97"/>
        <v>0</v>
      </c>
      <c r="Z258" s="1705">
        <f t="shared" si="98"/>
        <v>0</v>
      </c>
      <c r="AA258" s="1705">
        <f t="shared" si="99"/>
        <v>0</v>
      </c>
      <c r="AB258" s="1706">
        <f t="shared" si="100"/>
        <v>0</v>
      </c>
      <c r="AC258" s="1705">
        <f t="shared" si="101"/>
        <v>0</v>
      </c>
      <c r="AD258" s="1705">
        <f t="shared" si="102"/>
        <v>0</v>
      </c>
    </row>
    <row r="259" spans="1:30" x14ac:dyDescent="0.2">
      <c r="A259" s="2428"/>
      <c r="B259" s="342" t="s">
        <v>364</v>
      </c>
      <c r="C259" s="2429">
        <f>C258*C257</f>
        <v>900</v>
      </c>
      <c r="D259" s="2430"/>
      <c r="E259" s="339"/>
      <c r="F259" s="339"/>
      <c r="G259" s="318"/>
      <c r="H259" s="343">
        <f>H258*H257</f>
        <v>900</v>
      </c>
      <c r="I259" s="1852"/>
      <c r="N259" s="2428"/>
      <c r="O259" s="342" t="s">
        <v>364</v>
      </c>
      <c r="P259" s="2429">
        <f>P258*P257</f>
        <v>1320</v>
      </c>
      <c r="Q259" s="2430"/>
      <c r="R259" s="339"/>
      <c r="S259" s="339"/>
      <c r="T259" s="318"/>
      <c r="U259" s="2429">
        <f>U258*U257</f>
        <v>1320</v>
      </c>
      <c r="V259" s="1852"/>
      <c r="X259" s="1704">
        <f t="shared" si="103"/>
        <v>420</v>
      </c>
      <c r="Y259" s="1705">
        <f t="shared" si="97"/>
        <v>0</v>
      </c>
      <c r="Z259" s="1705">
        <f t="shared" si="98"/>
        <v>0</v>
      </c>
      <c r="AA259" s="1705">
        <f t="shared" si="99"/>
        <v>0</v>
      </c>
      <c r="AB259" s="1706">
        <f t="shared" si="100"/>
        <v>0</v>
      </c>
      <c r="AC259" s="1705">
        <f t="shared" si="101"/>
        <v>420</v>
      </c>
      <c r="AD259" s="1705">
        <f t="shared" si="102"/>
        <v>0</v>
      </c>
    </row>
    <row r="260" spans="1:30" x14ac:dyDescent="0.2">
      <c r="A260" s="2432">
        <v>107</v>
      </c>
      <c r="B260" s="342" t="s">
        <v>385</v>
      </c>
      <c r="C260" s="2433">
        <f>C258*2*C257</f>
        <v>1800</v>
      </c>
      <c r="D260" s="1747">
        <f t="shared" ref="D260:D268" si="104">E260/C260</f>
        <v>194.8</v>
      </c>
      <c r="E260" s="2434">
        <v>350640</v>
      </c>
      <c r="F260" s="2434"/>
      <c r="G260" s="318"/>
      <c r="H260" s="305">
        <f>H257*3*H258</f>
        <v>2700</v>
      </c>
      <c r="I260" s="2434">
        <v>438300</v>
      </c>
      <c r="N260" s="2432">
        <v>107</v>
      </c>
      <c r="O260" s="342" t="s">
        <v>385</v>
      </c>
      <c r="P260" s="2434">
        <f>P258*2*P257</f>
        <v>2640</v>
      </c>
      <c r="Q260" s="1747">
        <v>140</v>
      </c>
      <c r="R260" s="2434">
        <f>Q260*P260</f>
        <v>369600</v>
      </c>
      <c r="S260" s="2429"/>
      <c r="T260" s="318"/>
      <c r="U260" s="298">
        <f>U257*3*U258</f>
        <v>3960</v>
      </c>
      <c r="V260" s="2736">
        <f>U260*Q260</f>
        <v>554400</v>
      </c>
      <c r="X260" s="1704">
        <f t="shared" si="103"/>
        <v>840</v>
      </c>
      <c r="Y260" s="1705">
        <f t="shared" si="97"/>
        <v>-54.800000000000011</v>
      </c>
      <c r="Z260" s="1705">
        <f t="shared" si="98"/>
        <v>18960</v>
      </c>
      <c r="AA260" s="1705">
        <f t="shared" si="99"/>
        <v>0</v>
      </c>
      <c r="AB260" s="1706">
        <f t="shared" si="100"/>
        <v>0</v>
      </c>
      <c r="AC260" s="1705">
        <f t="shared" si="101"/>
        <v>1260</v>
      </c>
      <c r="AD260" s="1705">
        <f t="shared" si="102"/>
        <v>116100</v>
      </c>
    </row>
    <row r="261" spans="1:30" ht="25.5" x14ac:dyDescent="0.2">
      <c r="A261" s="2432">
        <v>108</v>
      </c>
      <c r="B261" s="315" t="s">
        <v>297</v>
      </c>
      <c r="C261" s="2433">
        <f>C257</f>
        <v>15</v>
      </c>
      <c r="D261" s="1643">
        <f>400*2*2*J1+300*J1/2</f>
        <v>6650</v>
      </c>
      <c r="E261" s="2434">
        <v>0</v>
      </c>
      <c r="F261" s="2434"/>
      <c r="G261" s="318"/>
      <c r="H261" s="305">
        <f t="shared" ref="H261:H267" si="105">C261</f>
        <v>15</v>
      </c>
      <c r="I261" s="2434">
        <v>80019.230769230766</v>
      </c>
      <c r="N261" s="2432">
        <v>108</v>
      </c>
      <c r="O261" s="315" t="s">
        <v>297</v>
      </c>
      <c r="P261" s="2434">
        <v>0</v>
      </c>
      <c r="Q261" s="1643">
        <v>5335</v>
      </c>
      <c r="R261" s="2434">
        <f t="shared" ref="R261:R269" si="106">Q261*P261</f>
        <v>0</v>
      </c>
      <c r="S261" s="2429"/>
      <c r="T261" s="318"/>
      <c r="U261" s="298">
        <f>U257</f>
        <v>22</v>
      </c>
      <c r="V261" s="2736">
        <f t="shared" ref="V261:V269" si="107">U261*Q261</f>
        <v>117370</v>
      </c>
      <c r="X261" s="1704">
        <f t="shared" si="103"/>
        <v>-15</v>
      </c>
      <c r="Y261" s="1705">
        <f t="shared" si="97"/>
        <v>-1315</v>
      </c>
      <c r="Z261" s="1705">
        <f t="shared" si="98"/>
        <v>0</v>
      </c>
      <c r="AA261" s="1705">
        <f t="shared" si="99"/>
        <v>0</v>
      </c>
      <c r="AB261" s="1706">
        <f t="shared" si="100"/>
        <v>0</v>
      </c>
      <c r="AC261" s="1705">
        <f t="shared" si="101"/>
        <v>7</v>
      </c>
      <c r="AD261" s="1705">
        <f t="shared" si="102"/>
        <v>37350.769230769234</v>
      </c>
    </row>
    <row r="262" spans="1:30" ht="25.5" x14ac:dyDescent="0.2">
      <c r="A262" s="2432">
        <v>109</v>
      </c>
      <c r="B262" s="315" t="s">
        <v>386</v>
      </c>
      <c r="C262" s="2433"/>
      <c r="D262" s="1643">
        <f>30*15*J1</f>
        <v>1710</v>
      </c>
      <c r="E262" s="2434">
        <v>0</v>
      </c>
      <c r="F262" s="2434"/>
      <c r="G262" s="318"/>
      <c r="H262" s="305">
        <f>15*H257</f>
        <v>225</v>
      </c>
      <c r="I262" s="2434">
        <v>46170</v>
      </c>
      <c r="N262" s="2432">
        <v>109</v>
      </c>
      <c r="O262" s="315" t="s">
        <v>386</v>
      </c>
      <c r="P262" s="2434">
        <v>0</v>
      </c>
      <c r="Q262" s="1643">
        <v>205.4</v>
      </c>
      <c r="R262" s="2434">
        <f t="shared" si="106"/>
        <v>0</v>
      </c>
      <c r="S262" s="2429"/>
      <c r="T262" s="318"/>
      <c r="U262" s="298">
        <f>15*U257</f>
        <v>330</v>
      </c>
      <c r="V262" s="2736">
        <f>U262*Q262</f>
        <v>67782</v>
      </c>
      <c r="X262" s="1704">
        <f t="shared" si="103"/>
        <v>0</v>
      </c>
      <c r="Y262" s="1705">
        <f t="shared" si="97"/>
        <v>-1504.6</v>
      </c>
      <c r="Z262" s="1705">
        <f t="shared" si="98"/>
        <v>0</v>
      </c>
      <c r="AA262" s="1705">
        <f t="shared" si="99"/>
        <v>0</v>
      </c>
      <c r="AB262" s="1706">
        <f t="shared" si="100"/>
        <v>0</v>
      </c>
      <c r="AC262" s="1705">
        <f t="shared" si="101"/>
        <v>105</v>
      </c>
      <c r="AD262" s="1705">
        <f t="shared" si="102"/>
        <v>21612</v>
      </c>
    </row>
    <row r="263" spans="1:30" x14ac:dyDescent="0.2">
      <c r="A263" s="2432">
        <v>110</v>
      </c>
      <c r="B263" s="342" t="s">
        <v>365</v>
      </c>
      <c r="C263" s="2433">
        <f>+C257</f>
        <v>15</v>
      </c>
      <c r="D263" s="1747">
        <f t="shared" si="104"/>
        <v>1440</v>
      </c>
      <c r="E263" s="2434">
        <v>21600</v>
      </c>
      <c r="F263" s="2434"/>
      <c r="G263" s="318"/>
      <c r="H263" s="305">
        <f t="shared" si="105"/>
        <v>15</v>
      </c>
      <c r="I263" s="2434">
        <v>32400</v>
      </c>
      <c r="N263" s="2432">
        <v>110</v>
      </c>
      <c r="O263" s="342" t="s">
        <v>866</v>
      </c>
      <c r="P263" s="2434">
        <f>+P257</f>
        <v>22</v>
      </c>
      <c r="Q263" s="1747">
        <v>3924.2799999999997</v>
      </c>
      <c r="R263" s="2434">
        <f t="shared" si="106"/>
        <v>86334.159999999989</v>
      </c>
      <c r="S263" s="2429"/>
      <c r="T263" s="318"/>
      <c r="U263" s="298">
        <f>P263/0.4*0.6</f>
        <v>33</v>
      </c>
      <c r="V263" s="2736">
        <f>U263*Q263</f>
        <v>129501.23999999999</v>
      </c>
      <c r="X263" s="1704">
        <f t="shared" si="103"/>
        <v>7</v>
      </c>
      <c r="Y263" s="1705">
        <f t="shared" si="97"/>
        <v>2484.2799999999997</v>
      </c>
      <c r="Z263" s="1705">
        <f t="shared" si="98"/>
        <v>64734.159999999989</v>
      </c>
      <c r="AA263" s="1705">
        <f t="shared" si="99"/>
        <v>0</v>
      </c>
      <c r="AB263" s="1706">
        <f t="shared" si="100"/>
        <v>0</v>
      </c>
      <c r="AC263" s="1705">
        <f t="shared" si="101"/>
        <v>18</v>
      </c>
      <c r="AD263" s="1705">
        <f t="shared" si="102"/>
        <v>97101.239999999991</v>
      </c>
    </row>
    <row r="264" spans="1:30" x14ac:dyDescent="0.2">
      <c r="A264" s="2432">
        <v>111</v>
      </c>
      <c r="B264" s="342" t="s">
        <v>251</v>
      </c>
      <c r="C264" s="2433">
        <f>C257</f>
        <v>15</v>
      </c>
      <c r="D264" s="1747">
        <f t="shared" si="104"/>
        <v>760</v>
      </c>
      <c r="E264" s="2434">
        <v>11400</v>
      </c>
      <c r="F264" s="2434"/>
      <c r="G264" s="318"/>
      <c r="H264" s="305">
        <f t="shared" si="105"/>
        <v>15</v>
      </c>
      <c r="I264" s="2434">
        <v>17100</v>
      </c>
      <c r="N264" s="2432">
        <v>111</v>
      </c>
      <c r="O264" s="342"/>
      <c r="P264" s="2434">
        <f>P257</f>
        <v>22</v>
      </c>
      <c r="Q264" s="1747"/>
      <c r="R264" s="2434">
        <f t="shared" si="106"/>
        <v>0</v>
      </c>
      <c r="S264" s="2429"/>
      <c r="T264" s="318"/>
      <c r="U264" s="298">
        <f>P264/0.4*0.6</f>
        <v>33</v>
      </c>
      <c r="V264" s="2736">
        <f t="shared" si="107"/>
        <v>0</v>
      </c>
      <c r="X264" s="1704">
        <f t="shared" ref="X264:X269" si="108">P264-C264</f>
        <v>7</v>
      </c>
      <c r="Y264" s="1705">
        <f t="shared" ref="Y264:Y269" si="109">Q264-D264</f>
        <v>-760</v>
      </c>
      <c r="Z264" s="1705">
        <f t="shared" ref="Z264:Z269" si="110">R264-E264</f>
        <v>-11400</v>
      </c>
      <c r="AA264" s="1705">
        <f t="shared" ref="AA264:AA269" si="111">F264-S264</f>
        <v>0</v>
      </c>
      <c r="AB264" s="1706">
        <f t="shared" ref="AB264:AB269" si="112">T264-F264</f>
        <v>0</v>
      </c>
      <c r="AC264" s="1705">
        <f t="shared" ref="AC264:AC269" si="113">U264-H264</f>
        <v>18</v>
      </c>
      <c r="AD264" s="1705">
        <f t="shared" ref="AD264:AD269" si="114">V264-I264</f>
        <v>-17100</v>
      </c>
    </row>
    <row r="265" spans="1:30" x14ac:dyDescent="0.2">
      <c r="A265" s="2432">
        <v>112</v>
      </c>
      <c r="B265" s="342" t="s">
        <v>387</v>
      </c>
      <c r="C265" s="2433">
        <f>8*C257</f>
        <v>120</v>
      </c>
      <c r="D265" s="1747">
        <f t="shared" si="104"/>
        <v>401.20559440559441</v>
      </c>
      <c r="E265" s="2434">
        <v>48144.671328671328</v>
      </c>
      <c r="F265" s="2434"/>
      <c r="G265" s="318"/>
      <c r="H265" s="305">
        <f>8*H257</f>
        <v>120</v>
      </c>
      <c r="I265" s="2434">
        <v>72217.006993006988</v>
      </c>
      <c r="N265" s="2432">
        <v>112</v>
      </c>
      <c r="O265" s="342" t="s">
        <v>387</v>
      </c>
      <c r="P265" s="2434">
        <f>8*P257</f>
        <v>176</v>
      </c>
      <c r="Q265" s="1747">
        <v>401.21</v>
      </c>
      <c r="R265" s="2434">
        <f t="shared" si="106"/>
        <v>70612.959999999992</v>
      </c>
      <c r="S265" s="2429"/>
      <c r="T265" s="318"/>
      <c r="U265" s="298">
        <f>P265/0.4*0.6</f>
        <v>264</v>
      </c>
      <c r="V265" s="2736">
        <f t="shared" si="107"/>
        <v>105919.43999999999</v>
      </c>
      <c r="X265" s="1704">
        <f t="shared" si="108"/>
        <v>56</v>
      </c>
      <c r="Y265" s="1705">
        <f t="shared" si="109"/>
        <v>4.4055944055685359E-3</v>
      </c>
      <c r="Z265" s="1705">
        <f t="shared" si="110"/>
        <v>22468.288671328664</v>
      </c>
      <c r="AA265" s="1705">
        <f t="shared" si="111"/>
        <v>0</v>
      </c>
      <c r="AB265" s="1706">
        <f t="shared" si="112"/>
        <v>0</v>
      </c>
      <c r="AC265" s="1705">
        <f t="shared" si="113"/>
        <v>144</v>
      </c>
      <c r="AD265" s="1705">
        <f t="shared" si="114"/>
        <v>33702.433006993</v>
      </c>
    </row>
    <row r="266" spans="1:30" ht="38.25" x14ac:dyDescent="0.2">
      <c r="A266" s="2432">
        <v>113</v>
      </c>
      <c r="B266" s="342" t="s">
        <v>388</v>
      </c>
      <c r="C266" s="2435">
        <f>C257</f>
        <v>15</v>
      </c>
      <c r="D266" s="1747">
        <f t="shared" si="104"/>
        <v>5700</v>
      </c>
      <c r="E266" s="2434">
        <v>85500</v>
      </c>
      <c r="F266" s="2434"/>
      <c r="G266" s="318"/>
      <c r="H266" s="1784">
        <f>H257</f>
        <v>15</v>
      </c>
      <c r="I266" s="2434">
        <v>85500</v>
      </c>
      <c r="M266" s="1847"/>
      <c r="N266" s="2432">
        <v>113</v>
      </c>
      <c r="O266" s="342" t="s">
        <v>388</v>
      </c>
      <c r="P266" s="2435">
        <f>P257</f>
        <v>22</v>
      </c>
      <c r="Q266" s="1747">
        <v>5700</v>
      </c>
      <c r="R266" s="2434">
        <f t="shared" si="106"/>
        <v>125400</v>
      </c>
      <c r="S266" s="2429"/>
      <c r="T266" s="318"/>
      <c r="U266" s="2435">
        <f>U257</f>
        <v>22</v>
      </c>
      <c r="V266" s="2736">
        <f t="shared" si="107"/>
        <v>125400</v>
      </c>
      <c r="X266" s="1704">
        <f t="shared" si="108"/>
        <v>7</v>
      </c>
      <c r="Y266" s="1705">
        <f t="shared" si="109"/>
        <v>0</v>
      </c>
      <c r="Z266" s="1705">
        <f t="shared" si="110"/>
        <v>39900</v>
      </c>
      <c r="AA266" s="1705">
        <f t="shared" si="111"/>
        <v>0</v>
      </c>
      <c r="AB266" s="1706">
        <f t="shared" si="112"/>
        <v>0</v>
      </c>
      <c r="AC266" s="1705">
        <f t="shared" si="113"/>
        <v>7</v>
      </c>
      <c r="AD266" s="1705">
        <f t="shared" si="114"/>
        <v>39900</v>
      </c>
    </row>
    <row r="267" spans="1:30" x14ac:dyDescent="0.2">
      <c r="A267" s="2432">
        <v>114</v>
      </c>
      <c r="B267" s="342" t="s">
        <v>389</v>
      </c>
      <c r="C267" s="2436">
        <v>0</v>
      </c>
      <c r="D267" s="1747">
        <v>0</v>
      </c>
      <c r="E267" s="2434">
        <v>0</v>
      </c>
      <c r="F267" s="2434"/>
      <c r="G267" s="318"/>
      <c r="H267" s="298">
        <f t="shared" si="105"/>
        <v>0</v>
      </c>
      <c r="I267" s="2434">
        <v>0</v>
      </c>
      <c r="N267" s="2432">
        <v>114</v>
      </c>
      <c r="O267" s="342" t="s">
        <v>389</v>
      </c>
      <c r="P267" s="2435">
        <v>0</v>
      </c>
      <c r="Q267" s="1747">
        <v>0</v>
      </c>
      <c r="R267" s="2434">
        <f t="shared" si="106"/>
        <v>0</v>
      </c>
      <c r="S267" s="2429"/>
      <c r="T267" s="318"/>
      <c r="U267" s="298">
        <f>P267</f>
        <v>0</v>
      </c>
      <c r="V267" s="2736">
        <f t="shared" si="107"/>
        <v>0</v>
      </c>
      <c r="X267" s="1704">
        <f t="shared" si="108"/>
        <v>0</v>
      </c>
      <c r="Y267" s="1705">
        <f t="shared" si="109"/>
        <v>0</v>
      </c>
      <c r="Z267" s="1705">
        <f t="shared" si="110"/>
        <v>0</v>
      </c>
      <c r="AA267" s="1705">
        <f t="shared" si="111"/>
        <v>0</v>
      </c>
      <c r="AB267" s="1706">
        <f t="shared" si="112"/>
        <v>0</v>
      </c>
      <c r="AC267" s="1705">
        <f t="shared" si="113"/>
        <v>0</v>
      </c>
      <c r="AD267" s="1705">
        <f t="shared" si="114"/>
        <v>0</v>
      </c>
    </row>
    <row r="268" spans="1:30" x14ac:dyDescent="0.2">
      <c r="A268" s="2432">
        <v>115</v>
      </c>
      <c r="B268" s="342" t="s">
        <v>235</v>
      </c>
      <c r="C268" s="2433">
        <f>C257</f>
        <v>15</v>
      </c>
      <c r="D268" s="1747">
        <f t="shared" si="104"/>
        <v>1724.2822377622381</v>
      </c>
      <c r="E268" s="2434">
        <v>25864.23356643357</v>
      </c>
      <c r="F268" s="2434"/>
      <c r="G268" s="318"/>
      <c r="H268" s="298">
        <f>C268</f>
        <v>15</v>
      </c>
      <c r="I268" s="2434">
        <v>25864.23356643357</v>
      </c>
      <c r="N268" s="2432">
        <v>115</v>
      </c>
      <c r="O268" s="342"/>
      <c r="P268" s="2434">
        <f>P257</f>
        <v>22</v>
      </c>
      <c r="Q268" s="1747"/>
      <c r="R268" s="2434">
        <f t="shared" si="106"/>
        <v>0</v>
      </c>
      <c r="S268" s="2429"/>
      <c r="T268" s="318"/>
      <c r="U268" s="298">
        <f>P268</f>
        <v>22</v>
      </c>
      <c r="V268" s="2736">
        <f t="shared" si="107"/>
        <v>0</v>
      </c>
      <c r="X268" s="1704">
        <f t="shared" si="108"/>
        <v>7</v>
      </c>
      <c r="Y268" s="1705">
        <f t="shared" si="109"/>
        <v>-1724.2822377622381</v>
      </c>
      <c r="Z268" s="1705">
        <f t="shared" si="110"/>
        <v>-25864.23356643357</v>
      </c>
      <c r="AA268" s="1705">
        <f t="shared" si="111"/>
        <v>0</v>
      </c>
      <c r="AB268" s="1706">
        <f t="shared" si="112"/>
        <v>0</v>
      </c>
      <c r="AC268" s="1705">
        <f t="shared" si="113"/>
        <v>7</v>
      </c>
      <c r="AD268" s="1705">
        <f t="shared" si="114"/>
        <v>-25864.23356643357</v>
      </c>
    </row>
    <row r="269" spans="1:30" x14ac:dyDescent="0.2">
      <c r="A269" s="2432">
        <v>116</v>
      </c>
      <c r="B269" s="315" t="s">
        <v>390</v>
      </c>
      <c r="C269" s="2433">
        <f>C259</f>
        <v>900</v>
      </c>
      <c r="D269" s="1643">
        <f>E269/C269</f>
        <v>-77.92</v>
      </c>
      <c r="E269" s="2434">
        <v>-70128</v>
      </c>
      <c r="F269" s="298"/>
      <c r="G269" s="318"/>
      <c r="H269" s="298">
        <f>H259</f>
        <v>900</v>
      </c>
      <c r="I269" s="2434">
        <v>-87660</v>
      </c>
      <c r="J269" s="328"/>
      <c r="N269" s="2432">
        <v>116</v>
      </c>
      <c r="O269" s="315" t="s">
        <v>390</v>
      </c>
      <c r="P269" s="2433">
        <f>P259</f>
        <v>1320</v>
      </c>
      <c r="Q269" s="1643">
        <v>-77.92</v>
      </c>
      <c r="R269" s="2434">
        <f t="shared" si="106"/>
        <v>-102854.40000000001</v>
      </c>
      <c r="S269" s="323"/>
      <c r="T269" s="318"/>
      <c r="U269" s="298">
        <f>U259*1.25</f>
        <v>1650</v>
      </c>
      <c r="V269" s="2736">
        <f t="shared" si="107"/>
        <v>-128568</v>
      </c>
      <c r="X269" s="1704">
        <f t="shared" si="108"/>
        <v>420</v>
      </c>
      <c r="Y269" s="1705">
        <f t="shared" si="109"/>
        <v>0</v>
      </c>
      <c r="Z269" s="1705">
        <f t="shared" si="110"/>
        <v>-32726.400000000009</v>
      </c>
      <c r="AA269" s="1705">
        <f t="shared" si="111"/>
        <v>0</v>
      </c>
      <c r="AB269" s="1706">
        <f t="shared" si="112"/>
        <v>0</v>
      </c>
      <c r="AC269" s="1705">
        <f t="shared" si="113"/>
        <v>750</v>
      </c>
      <c r="AD269" s="1705">
        <f t="shared" si="114"/>
        <v>-40908</v>
      </c>
    </row>
    <row r="270" spans="1:30" ht="13.5" customHeight="1" thickBot="1" x14ac:dyDescent="0.25">
      <c r="A270" s="2415"/>
      <c r="B270" s="2416" t="s">
        <v>13</v>
      </c>
      <c r="C270" s="2417"/>
      <c r="D270" s="2418"/>
      <c r="E270" s="1859">
        <f>SUM(E260:E269)</f>
        <v>473020.90489510493</v>
      </c>
      <c r="F270" s="1859"/>
      <c r="G270" s="318"/>
      <c r="H270" s="318"/>
      <c r="I270" s="1859">
        <f>SUM(I260:I269)</f>
        <v>709910.47132867132</v>
      </c>
      <c r="J270" s="327">
        <v>473020.90489510488</v>
      </c>
      <c r="K270" s="327">
        <v>709910.47132867132</v>
      </c>
      <c r="N270" s="2415"/>
      <c r="O270" s="2416" t="s">
        <v>13</v>
      </c>
      <c r="P270" s="2417"/>
      <c r="Q270" s="2418"/>
      <c r="R270" s="1859">
        <f>SUM(R260:R269)</f>
        <v>549092.72</v>
      </c>
      <c r="S270" s="1859"/>
      <c r="T270" s="318"/>
      <c r="U270" s="318"/>
      <c r="V270" s="2737">
        <f>SUM(V260:V269)</f>
        <v>971804.67999999993</v>
      </c>
      <c r="X270" s="1750"/>
      <c r="Y270" s="1750"/>
      <c r="Z270" s="1752">
        <f>SUM(Z259:Z269)</f>
        <v>76071.815104895082</v>
      </c>
      <c r="AA270" s="1752">
        <f>SUM(AA259:AA269)</f>
        <v>0</v>
      </c>
      <c r="AB270" s="1752">
        <f>SUM(AB259:AB269)</f>
        <v>0</v>
      </c>
      <c r="AC270" s="1752">
        <f>SUM(AC259:AC269)</f>
        <v>2736</v>
      </c>
      <c r="AD270" s="1752">
        <f>SUM(AD259:AD269)</f>
        <v>261894.20867132873</v>
      </c>
    </row>
    <row r="271" spans="1:30" ht="38.25" customHeight="1" thickBot="1" x14ac:dyDescent="0.25">
      <c r="A271" s="2437"/>
      <c r="B271" s="3181" t="s">
        <v>391</v>
      </c>
      <c r="C271" s="3181"/>
      <c r="D271" s="3181"/>
      <c r="E271" s="3181"/>
      <c r="F271" s="3181"/>
      <c r="G271" s="3181"/>
      <c r="H271" s="3181"/>
      <c r="I271" s="3182"/>
      <c r="N271" s="2437"/>
      <c r="O271" s="3181" t="s">
        <v>391</v>
      </c>
      <c r="P271" s="3181"/>
      <c r="Q271" s="3181"/>
      <c r="R271" s="3181"/>
      <c r="S271" s="3181"/>
      <c r="T271" s="3181"/>
      <c r="U271" s="3181"/>
      <c r="V271" s="3182"/>
      <c r="X271" s="345"/>
      <c r="Y271" s="345"/>
      <c r="Z271" s="345"/>
      <c r="AA271" s="345"/>
      <c r="AB271" s="345"/>
      <c r="AC271" s="345"/>
      <c r="AD271" s="345"/>
    </row>
    <row r="272" spans="1:30" ht="13.5" thickBot="1" x14ac:dyDescent="0.25">
      <c r="E272" s="620">
        <f>-E270+'[1]חמ"ע'!$E$280</f>
        <v>0</v>
      </c>
      <c r="R272" s="620">
        <f>-R270+'[1]חמ"ע'!$R$280</f>
        <v>0</v>
      </c>
      <c r="V272" s="2259">
        <f>-V270+'[1]חמ"ע'!$V$280</f>
        <v>-18967.080000000075</v>
      </c>
      <c r="X272" s="345"/>
      <c r="Y272" s="345"/>
      <c r="Z272" s="345"/>
      <c r="AA272" s="345"/>
      <c r="AB272" s="345"/>
      <c r="AC272" s="345"/>
      <c r="AD272" s="345"/>
    </row>
    <row r="273" spans="1:30" s="2441" customFormat="1" ht="14.25" customHeight="1" x14ac:dyDescent="0.2">
      <c r="A273" s="2438">
        <v>8</v>
      </c>
      <c r="B273" s="2439" t="s">
        <v>82</v>
      </c>
      <c r="C273" s="3186" t="s">
        <v>87</v>
      </c>
      <c r="D273" s="3186"/>
      <c r="E273" s="3186"/>
      <c r="F273" s="2151"/>
      <c r="G273" s="2353"/>
      <c r="H273" s="3189" t="s">
        <v>88</v>
      </c>
      <c r="I273" s="3190"/>
      <c r="J273" s="2440"/>
      <c r="K273" s="2440"/>
      <c r="N273" s="2438">
        <v>8</v>
      </c>
      <c r="O273" s="2439" t="s">
        <v>82</v>
      </c>
      <c r="P273" s="3185" t="s">
        <v>812</v>
      </c>
      <c r="Q273" s="3186"/>
      <c r="R273" s="3186"/>
      <c r="S273" s="2151"/>
      <c r="T273" s="2353"/>
      <c r="U273" s="3189" t="s">
        <v>88</v>
      </c>
      <c r="V273" s="3190"/>
      <c r="X273" s="3188" t="s">
        <v>506</v>
      </c>
      <c r="Y273" s="3186"/>
      <c r="Z273" s="3186"/>
      <c r="AA273" s="2151"/>
      <c r="AB273" s="2153"/>
      <c r="AC273" s="3189" t="s">
        <v>88</v>
      </c>
      <c r="AD273" s="3190"/>
    </row>
    <row r="274" spans="1:30" s="2441" customFormat="1" ht="14.25" customHeight="1" x14ac:dyDescent="0.2">
      <c r="A274" s="2361"/>
      <c r="B274" s="2155" t="s">
        <v>89</v>
      </c>
      <c r="C274" s="2162" t="s">
        <v>54</v>
      </c>
      <c r="D274" s="2156" t="s">
        <v>91</v>
      </c>
      <c r="E274" s="2162" t="s">
        <v>54</v>
      </c>
      <c r="F274" s="2155" t="s">
        <v>106</v>
      </c>
      <c r="G274" s="2443"/>
      <c r="H274" s="2162" t="s">
        <v>54</v>
      </c>
      <c r="I274" s="2157" t="s">
        <v>92</v>
      </c>
      <c r="J274" s="2440"/>
      <c r="K274" s="2440"/>
      <c r="N274" s="2361"/>
      <c r="O274" s="2155" t="s">
        <v>89</v>
      </c>
      <c r="P274" s="2162" t="s">
        <v>54</v>
      </c>
      <c r="Q274" s="2156" t="s">
        <v>91</v>
      </c>
      <c r="R274" s="2155" t="s">
        <v>207</v>
      </c>
      <c r="S274" s="2155" t="s">
        <v>106</v>
      </c>
      <c r="T274" s="2443"/>
      <c r="U274" s="2162" t="s">
        <v>54</v>
      </c>
      <c r="V274" s="2157" t="s">
        <v>92</v>
      </c>
      <c r="X274" s="2154" t="s">
        <v>90</v>
      </c>
      <c r="Y274" s="2155" t="s">
        <v>91</v>
      </c>
      <c r="Z274" s="2158" t="s">
        <v>507</v>
      </c>
      <c r="AA274" s="2158"/>
      <c r="AB274" s="2161"/>
      <c r="AC274" s="2162" t="s">
        <v>54</v>
      </c>
      <c r="AD274" s="2163" t="s">
        <v>507</v>
      </c>
    </row>
    <row r="275" spans="1:30" s="2441" customFormat="1" ht="14.25" customHeight="1" x14ac:dyDescent="0.2">
      <c r="A275" s="2359"/>
      <c r="B275" s="287" t="s">
        <v>217</v>
      </c>
      <c r="C275" s="2444">
        <v>1000</v>
      </c>
      <c r="D275" s="2445">
        <v>8</v>
      </c>
      <c r="E275" s="2442">
        <f t="shared" ref="E275:E280" si="115">D275*C275</f>
        <v>8000</v>
      </c>
      <c r="F275" s="2442"/>
      <c r="G275" s="2443"/>
      <c r="H275" s="2360"/>
      <c r="I275" s="2446"/>
      <c r="J275" s="2440"/>
      <c r="K275" s="2440"/>
      <c r="N275" s="2359"/>
      <c r="O275" s="287" t="s">
        <v>217</v>
      </c>
      <c r="P275" s="2268">
        <v>0</v>
      </c>
      <c r="Q275" s="1713">
        <v>8</v>
      </c>
      <c r="R275" s="1714">
        <f t="shared" ref="R275:R284" si="116">Q275*P275</f>
        <v>0</v>
      </c>
      <c r="S275" s="2442"/>
      <c r="T275" s="2443"/>
      <c r="U275" s="2360"/>
      <c r="V275" s="2446"/>
      <c r="X275" s="1704">
        <f>P275-C275</f>
        <v>-1000</v>
      </c>
      <c r="Y275" s="1705">
        <f t="shared" ref="Y275:Y284" si="117">Q275-D275</f>
        <v>0</v>
      </c>
      <c r="Z275" s="1705">
        <f t="shared" ref="Z275:Z284" si="118">R275-E275</f>
        <v>-8000</v>
      </c>
      <c r="AA275" s="1705">
        <f t="shared" ref="AA275:AA284" si="119">F275-S275</f>
        <v>0</v>
      </c>
      <c r="AB275" s="1706">
        <f t="shared" ref="AB275:AB284" si="120">T275-F275</f>
        <v>0</v>
      </c>
      <c r="AC275" s="1705">
        <f t="shared" ref="AC275:AC284" si="121">U275-H275</f>
        <v>0</v>
      </c>
      <c r="AD275" s="1705">
        <f t="shared" ref="AD275:AD284" si="122">V275-I275</f>
        <v>0</v>
      </c>
    </row>
    <row r="276" spans="1:30" s="2441" customFormat="1" ht="14.25" customHeight="1" x14ac:dyDescent="0.2">
      <c r="A276" s="2447">
        <v>125</v>
      </c>
      <c r="B276" s="287" t="s">
        <v>392</v>
      </c>
      <c r="C276" s="2444">
        <v>10</v>
      </c>
      <c r="D276" s="2445">
        <f>2000*4.5</f>
        <v>9000</v>
      </c>
      <c r="E276" s="2442">
        <f t="shared" si="115"/>
        <v>90000</v>
      </c>
      <c r="F276" s="2442"/>
      <c r="G276" s="2443"/>
      <c r="H276" s="2360"/>
      <c r="I276" s="2446"/>
      <c r="J276" s="2440"/>
      <c r="K276" s="2440"/>
      <c r="N276" s="2447">
        <v>125</v>
      </c>
      <c r="O276" s="287" t="s">
        <v>392</v>
      </c>
      <c r="P276" s="2268">
        <v>0</v>
      </c>
      <c r="Q276" s="1713">
        <f>2000*4.5</f>
        <v>9000</v>
      </c>
      <c r="R276" s="1714">
        <f t="shared" si="116"/>
        <v>0</v>
      </c>
      <c r="S276" s="2442"/>
      <c r="T276" s="2443"/>
      <c r="U276" s="2360"/>
      <c r="V276" s="2446"/>
      <c r="X276" s="1704">
        <f t="shared" ref="X276:X284" si="123">P276-C276</f>
        <v>-10</v>
      </c>
      <c r="Y276" s="1705">
        <f t="shared" si="117"/>
        <v>0</v>
      </c>
      <c r="Z276" s="1705">
        <f t="shared" si="118"/>
        <v>-90000</v>
      </c>
      <c r="AA276" s="1705">
        <f t="shared" si="119"/>
        <v>0</v>
      </c>
      <c r="AB276" s="1706">
        <f t="shared" si="120"/>
        <v>0</v>
      </c>
      <c r="AC276" s="1705">
        <f t="shared" si="121"/>
        <v>0</v>
      </c>
      <c r="AD276" s="1705">
        <f t="shared" si="122"/>
        <v>0</v>
      </c>
    </row>
    <row r="277" spans="1:30" s="2441" customFormat="1" ht="14.25" customHeight="1" x14ac:dyDescent="0.2">
      <c r="A277" s="2447">
        <v>126</v>
      </c>
      <c r="B277" s="287" t="s">
        <v>393</v>
      </c>
      <c r="C277" s="2444">
        <v>11</v>
      </c>
      <c r="D277" s="2445">
        <f>3300*4.5</f>
        <v>14850</v>
      </c>
      <c r="E277" s="2442">
        <f t="shared" si="115"/>
        <v>163350</v>
      </c>
      <c r="F277" s="2442"/>
      <c r="G277" s="2443"/>
      <c r="H277" s="2360"/>
      <c r="I277" s="2446"/>
      <c r="J277" s="2448"/>
      <c r="K277" s="2440"/>
      <c r="N277" s="2447">
        <v>126</v>
      </c>
      <c r="O277" s="287" t="s">
        <v>393</v>
      </c>
      <c r="P277" s="2268">
        <v>0</v>
      </c>
      <c r="Q277" s="1713">
        <f>3300*4.5</f>
        <v>14850</v>
      </c>
      <c r="R277" s="1714">
        <f t="shared" si="116"/>
        <v>0</v>
      </c>
      <c r="S277" s="2442"/>
      <c r="T277" s="2443"/>
      <c r="U277" s="2360"/>
      <c r="V277" s="2446"/>
      <c r="X277" s="1704">
        <f t="shared" si="123"/>
        <v>-11</v>
      </c>
      <c r="Y277" s="1705">
        <f t="shared" si="117"/>
        <v>0</v>
      </c>
      <c r="Z277" s="1705">
        <f t="shared" si="118"/>
        <v>-163350</v>
      </c>
      <c r="AA277" s="1705">
        <f t="shared" si="119"/>
        <v>0</v>
      </c>
      <c r="AB277" s="1706">
        <f t="shared" si="120"/>
        <v>0</v>
      </c>
      <c r="AC277" s="1705">
        <f t="shared" si="121"/>
        <v>0</v>
      </c>
      <c r="AD277" s="1705">
        <f t="shared" si="122"/>
        <v>0</v>
      </c>
    </row>
    <row r="278" spans="1:30" s="1718" customFormat="1" ht="14.25" customHeight="1" x14ac:dyDescent="0.2">
      <c r="A278" s="2447">
        <v>127</v>
      </c>
      <c r="B278" s="287" t="s">
        <v>394</v>
      </c>
      <c r="C278" s="2444">
        <v>12</v>
      </c>
      <c r="D278" s="2445">
        <f>2000*4.5</f>
        <v>9000</v>
      </c>
      <c r="E278" s="2442">
        <f t="shared" si="115"/>
        <v>108000</v>
      </c>
      <c r="F278" s="2442"/>
      <c r="G278" s="2443"/>
      <c r="H278" s="2360"/>
      <c r="I278" s="2446"/>
      <c r="J278" s="2260"/>
      <c r="K278" s="2260"/>
      <c r="N278" s="2447">
        <v>127</v>
      </c>
      <c r="O278" s="287" t="s">
        <v>394</v>
      </c>
      <c r="P278" s="2268">
        <v>12</v>
      </c>
      <c r="Q278" s="1713">
        <v>35000</v>
      </c>
      <c r="R278" s="1714">
        <f t="shared" si="116"/>
        <v>420000</v>
      </c>
      <c r="S278" s="2442"/>
      <c r="T278" s="2443"/>
      <c r="U278" s="2360"/>
      <c r="V278" s="2446"/>
      <c r="X278" s="1704">
        <f t="shared" si="123"/>
        <v>0</v>
      </c>
      <c r="Y278" s="1705">
        <f t="shared" si="117"/>
        <v>26000</v>
      </c>
      <c r="Z278" s="1705">
        <f t="shared" si="118"/>
        <v>312000</v>
      </c>
      <c r="AA278" s="1705">
        <f t="shared" si="119"/>
        <v>0</v>
      </c>
      <c r="AB278" s="1706">
        <f t="shared" si="120"/>
        <v>0</v>
      </c>
      <c r="AC278" s="1705">
        <f t="shared" si="121"/>
        <v>0</v>
      </c>
      <c r="AD278" s="1705">
        <f t="shared" si="122"/>
        <v>0</v>
      </c>
    </row>
    <row r="279" spans="1:30" s="1718" customFormat="1" ht="14.25" customHeight="1" x14ac:dyDescent="0.2">
      <c r="A279" s="2447">
        <v>128</v>
      </c>
      <c r="B279" s="287" t="s">
        <v>395</v>
      </c>
      <c r="C279" s="2444">
        <v>10</v>
      </c>
      <c r="D279" s="2445">
        <v>10000</v>
      </c>
      <c r="E279" s="2442">
        <f t="shared" si="115"/>
        <v>100000</v>
      </c>
      <c r="F279" s="2442"/>
      <c r="G279" s="2443"/>
      <c r="H279" s="2360"/>
      <c r="I279" s="2446"/>
      <c r="J279" s="2260"/>
      <c r="K279" s="2260"/>
      <c r="N279" s="2447">
        <v>128</v>
      </c>
      <c r="O279" s="287" t="s">
        <v>395</v>
      </c>
      <c r="P279" s="2268">
        <v>0</v>
      </c>
      <c r="Q279" s="1713">
        <v>10000</v>
      </c>
      <c r="R279" s="1714">
        <f t="shared" si="116"/>
        <v>0</v>
      </c>
      <c r="S279" s="2442"/>
      <c r="T279" s="2443"/>
      <c r="U279" s="2360"/>
      <c r="V279" s="2446"/>
      <c r="X279" s="1704">
        <f t="shared" si="123"/>
        <v>-10</v>
      </c>
      <c r="Y279" s="1705">
        <f t="shared" si="117"/>
        <v>0</v>
      </c>
      <c r="Z279" s="1705">
        <f t="shared" si="118"/>
        <v>-100000</v>
      </c>
      <c r="AA279" s="1705">
        <f t="shared" si="119"/>
        <v>0</v>
      </c>
      <c r="AB279" s="1706">
        <f t="shared" si="120"/>
        <v>0</v>
      </c>
      <c r="AC279" s="1705">
        <f t="shared" si="121"/>
        <v>0</v>
      </c>
      <c r="AD279" s="1705">
        <f t="shared" si="122"/>
        <v>0</v>
      </c>
    </row>
    <row r="280" spans="1:30" s="1718" customFormat="1" ht="14.25" customHeight="1" x14ac:dyDescent="0.2">
      <c r="A280" s="2447">
        <v>129</v>
      </c>
      <c r="B280" s="288" t="s">
        <v>221</v>
      </c>
      <c r="C280" s="2444">
        <v>12</v>
      </c>
      <c r="D280" s="2445">
        <v>2700</v>
      </c>
      <c r="E280" s="2442">
        <f t="shared" si="115"/>
        <v>32400</v>
      </c>
      <c r="F280" s="2442"/>
      <c r="G280" s="2443"/>
      <c r="H280" s="2360"/>
      <c r="I280" s="2446"/>
      <c r="J280" s="2260"/>
      <c r="K280" s="2260"/>
      <c r="N280" s="2447">
        <v>129</v>
      </c>
      <c r="O280" s="288" t="s">
        <v>221</v>
      </c>
      <c r="P280" s="2268">
        <v>0</v>
      </c>
      <c r="Q280" s="1713">
        <v>2700</v>
      </c>
      <c r="R280" s="1714">
        <f t="shared" si="116"/>
        <v>0</v>
      </c>
      <c r="S280" s="2442"/>
      <c r="T280" s="2443"/>
      <c r="U280" s="2360"/>
      <c r="V280" s="2446"/>
      <c r="X280" s="1704">
        <f t="shared" si="123"/>
        <v>-12</v>
      </c>
      <c r="Y280" s="1705">
        <f t="shared" si="117"/>
        <v>0</v>
      </c>
      <c r="Z280" s="1705">
        <f t="shared" si="118"/>
        <v>-32400</v>
      </c>
      <c r="AA280" s="1705">
        <f t="shared" si="119"/>
        <v>0</v>
      </c>
      <c r="AB280" s="1706">
        <f t="shared" si="120"/>
        <v>0</v>
      </c>
      <c r="AC280" s="1705">
        <f t="shared" si="121"/>
        <v>0</v>
      </c>
      <c r="AD280" s="1705">
        <f t="shared" si="122"/>
        <v>0</v>
      </c>
    </row>
    <row r="281" spans="1:30" s="1718" customFormat="1" ht="38.25" x14ac:dyDescent="0.2">
      <c r="A281" s="2449"/>
      <c r="B281" s="534"/>
      <c r="C281" s="2450"/>
      <c r="D281" s="2451"/>
      <c r="E281" s="2452"/>
      <c r="F281" s="2452"/>
      <c r="G281" s="2453"/>
      <c r="H281" s="2454"/>
      <c r="I281" s="2455"/>
      <c r="J281" s="2260"/>
      <c r="K281" s="2260"/>
      <c r="N281" s="2447"/>
      <c r="O281" s="288" t="s">
        <v>651</v>
      </c>
      <c r="P281" s="2268">
        <v>10</v>
      </c>
      <c r="Q281" s="1713">
        <v>19600</v>
      </c>
      <c r="R281" s="1714">
        <f t="shared" si="116"/>
        <v>196000</v>
      </c>
      <c r="S281" s="2442"/>
      <c r="T281" s="2443"/>
      <c r="U281" s="2360"/>
      <c r="V281" s="2446"/>
      <c r="X281" s="1704">
        <f t="shared" si="123"/>
        <v>10</v>
      </c>
      <c r="Y281" s="1705">
        <f t="shared" si="117"/>
        <v>19600</v>
      </c>
      <c r="Z281" s="1705">
        <f t="shared" si="118"/>
        <v>196000</v>
      </c>
      <c r="AA281" s="1705">
        <f t="shared" si="119"/>
        <v>0</v>
      </c>
      <c r="AB281" s="1706">
        <f t="shared" si="120"/>
        <v>0</v>
      </c>
      <c r="AC281" s="1705">
        <f t="shared" si="121"/>
        <v>0</v>
      </c>
      <c r="AD281" s="1705">
        <f t="shared" si="122"/>
        <v>0</v>
      </c>
    </row>
    <row r="282" spans="1:30" s="1718" customFormat="1" ht="38.25" x14ac:dyDescent="0.2">
      <c r="A282" s="2449"/>
      <c r="B282" s="534"/>
      <c r="C282" s="2450"/>
      <c r="D282" s="2451"/>
      <c r="E282" s="2452"/>
      <c r="F282" s="2452"/>
      <c r="G282" s="2453"/>
      <c r="H282" s="2454"/>
      <c r="I282" s="2455"/>
      <c r="J282" s="2260"/>
      <c r="K282" s="2260"/>
      <c r="N282" s="2447"/>
      <c r="O282" s="288" t="s">
        <v>652</v>
      </c>
      <c r="P282" s="2268">
        <v>37000</v>
      </c>
      <c r="Q282" s="1713">
        <v>4.5</v>
      </c>
      <c r="R282" s="1714">
        <f t="shared" si="116"/>
        <v>166500</v>
      </c>
      <c r="S282" s="2442"/>
      <c r="T282" s="2443"/>
      <c r="U282" s="2360"/>
      <c r="V282" s="2446"/>
      <c r="X282" s="1704">
        <f t="shared" si="123"/>
        <v>37000</v>
      </c>
      <c r="Y282" s="1705">
        <f t="shared" si="117"/>
        <v>4.5</v>
      </c>
      <c r="Z282" s="1705">
        <f t="shared" si="118"/>
        <v>166500</v>
      </c>
      <c r="AA282" s="1705">
        <f t="shared" si="119"/>
        <v>0</v>
      </c>
      <c r="AB282" s="1706">
        <f t="shared" si="120"/>
        <v>0</v>
      </c>
      <c r="AC282" s="1705">
        <f t="shared" si="121"/>
        <v>0</v>
      </c>
      <c r="AD282" s="1705">
        <f t="shared" si="122"/>
        <v>0</v>
      </c>
    </row>
    <row r="283" spans="1:30" s="1718" customFormat="1" ht="14.25" customHeight="1" x14ac:dyDescent="0.2">
      <c r="A283" s="2449"/>
      <c r="B283" s="534"/>
      <c r="C283" s="2450"/>
      <c r="D283" s="2451"/>
      <c r="E283" s="2452"/>
      <c r="F283" s="2452"/>
      <c r="G283" s="2453"/>
      <c r="H283" s="2454"/>
      <c r="I283" s="2455"/>
      <c r="J283" s="2260"/>
      <c r="K283" s="2260"/>
      <c r="N283" s="2447"/>
      <c r="O283" s="288" t="s">
        <v>653</v>
      </c>
      <c r="P283" s="2268">
        <v>15000</v>
      </c>
      <c r="Q283" s="1713">
        <v>6.666666666666667</v>
      </c>
      <c r="R283" s="1714">
        <f t="shared" si="116"/>
        <v>100000</v>
      </c>
      <c r="S283" s="2442"/>
      <c r="T283" s="2443"/>
      <c r="U283" s="2268">
        <v>1</v>
      </c>
      <c r="V283" s="2734">
        <v>12500</v>
      </c>
      <c r="X283" s="1704">
        <f t="shared" si="123"/>
        <v>15000</v>
      </c>
      <c r="Y283" s="1705">
        <f t="shared" si="117"/>
        <v>6.666666666666667</v>
      </c>
      <c r="Z283" s="1705">
        <f t="shared" si="118"/>
        <v>100000</v>
      </c>
      <c r="AA283" s="1705">
        <f t="shared" si="119"/>
        <v>0</v>
      </c>
      <c r="AB283" s="1706">
        <f t="shared" si="120"/>
        <v>0</v>
      </c>
      <c r="AC283" s="1705">
        <f t="shared" si="121"/>
        <v>1</v>
      </c>
      <c r="AD283" s="1705">
        <f t="shared" si="122"/>
        <v>12500</v>
      </c>
    </row>
    <row r="284" spans="1:30" s="1718" customFormat="1" ht="38.25" x14ac:dyDescent="0.2">
      <c r="A284" s="2449"/>
      <c r="B284" s="534"/>
      <c r="C284" s="2450"/>
      <c r="D284" s="2451"/>
      <c r="E284" s="2452"/>
      <c r="F284" s="2452"/>
      <c r="G284" s="2453"/>
      <c r="H284" s="2454"/>
      <c r="I284" s="2455"/>
      <c r="J284" s="2260"/>
      <c r="K284" s="2260"/>
      <c r="N284" s="2447"/>
      <c r="O284" s="288" t="s">
        <v>654</v>
      </c>
      <c r="P284" s="2268">
        <v>30</v>
      </c>
      <c r="Q284" s="1713">
        <v>4000</v>
      </c>
      <c r="R284" s="1714">
        <f t="shared" si="116"/>
        <v>120000</v>
      </c>
      <c r="S284" s="2442"/>
      <c r="T284" s="2443"/>
      <c r="U284" s="2360"/>
      <c r="V284" s="2446"/>
      <c r="X284" s="1704">
        <f t="shared" si="123"/>
        <v>30</v>
      </c>
      <c r="Y284" s="1705">
        <f t="shared" si="117"/>
        <v>4000</v>
      </c>
      <c r="Z284" s="1705">
        <f t="shared" si="118"/>
        <v>120000</v>
      </c>
      <c r="AA284" s="1705">
        <f t="shared" si="119"/>
        <v>0</v>
      </c>
      <c r="AB284" s="1706">
        <f t="shared" si="120"/>
        <v>0</v>
      </c>
      <c r="AC284" s="1705">
        <f t="shared" si="121"/>
        <v>0</v>
      </c>
      <c r="AD284" s="1705">
        <f t="shared" si="122"/>
        <v>0</v>
      </c>
    </row>
    <row r="285" spans="1:30" s="1718" customFormat="1" ht="14.25" customHeight="1" thickBot="1" x14ac:dyDescent="0.25">
      <c r="A285" s="2456"/>
      <c r="B285" s="2457"/>
      <c r="C285" s="2458"/>
      <c r="D285" s="2459"/>
      <c r="E285" s="2458">
        <f>SUM(E275:E280)</f>
        <v>501750</v>
      </c>
      <c r="F285" s="2458">
        <f>SUM(F275:F277)</f>
        <v>0</v>
      </c>
      <c r="G285" s="2460"/>
      <c r="H285" s="2458"/>
      <c r="I285" s="2461"/>
      <c r="J285" s="2260"/>
      <c r="K285" s="2260"/>
      <c r="N285" s="2361"/>
      <c r="O285" s="2650"/>
      <c r="P285" s="2362"/>
      <c r="Q285" s="2363"/>
      <c r="R285" s="2362">
        <f>SUM(R275:R284)</f>
        <v>1002500</v>
      </c>
      <c r="S285" s="2362">
        <f>SUM(S275:S284)</f>
        <v>0</v>
      </c>
      <c r="T285" s="2362">
        <f>SUM(T275:T284)</f>
        <v>0</v>
      </c>
      <c r="U285" s="2362">
        <f>SUM(U275:U284)</f>
        <v>1</v>
      </c>
      <c r="V285" s="2364">
        <f>SUM(V275:V284)</f>
        <v>12500</v>
      </c>
      <c r="X285" s="1750"/>
      <c r="Y285" s="1750"/>
      <c r="Z285" s="1752">
        <f>SUM(Z277:Z284)</f>
        <v>598750</v>
      </c>
      <c r="AA285" s="1752">
        <f>SUM(AA277:AA284)</f>
        <v>0</v>
      </c>
      <c r="AB285" s="1752">
        <f>SUM(AB277:AB284)</f>
        <v>0</v>
      </c>
      <c r="AC285" s="1752">
        <f>SUM(AC277:AC284)</f>
        <v>1</v>
      </c>
      <c r="AD285" s="1752">
        <f>SUM(AD277:AD284)</f>
        <v>12500</v>
      </c>
    </row>
    <row r="286" spans="1:30" s="1718" customFormat="1" ht="14.25" customHeight="1" thickBot="1" x14ac:dyDescent="0.25">
      <c r="B286" s="364" t="s">
        <v>396</v>
      </c>
      <c r="D286" s="2184"/>
      <c r="E286" s="2275">
        <f>-E285+'[1]חמ"ע'!$E$295</f>
        <v>0</v>
      </c>
      <c r="N286" s="2420"/>
      <c r="O286" s="2735" t="s">
        <v>396</v>
      </c>
      <c r="P286" s="2421"/>
      <c r="Q286" s="2422"/>
      <c r="R286" s="2690">
        <f>R285-'[4]פרוט (3)'!$V$294</f>
        <v>0</v>
      </c>
      <c r="S286" s="2421"/>
      <c r="T286" s="2421"/>
      <c r="U286" s="2421"/>
      <c r="V286" s="2691">
        <f>-V285+'[3]פרוט (4)'!$Z$306</f>
        <v>0</v>
      </c>
      <c r="X286" s="328"/>
      <c r="Y286" s="328"/>
      <c r="Z286" s="328"/>
      <c r="AA286" s="328"/>
      <c r="AB286" s="328"/>
      <c r="AC286" s="328"/>
      <c r="AD286" s="328"/>
    </row>
    <row r="287" spans="1:30" ht="13.5" thickBot="1" x14ac:dyDescent="0.25"/>
    <row r="288" spans="1:30" ht="26.25" thickBot="1" x14ac:dyDescent="0.25">
      <c r="A288" s="2462"/>
      <c r="B288" s="2439" t="s">
        <v>657</v>
      </c>
      <c r="C288" s="3183" t="s">
        <v>642</v>
      </c>
      <c r="D288" s="3191"/>
      <c r="E288" s="3192"/>
      <c r="F288" s="2463"/>
      <c r="G288" s="2464"/>
      <c r="H288" s="3183" t="s">
        <v>88</v>
      </c>
      <c r="I288" s="3184"/>
      <c r="J288" s="328"/>
      <c r="K288" s="1703"/>
      <c r="N288" s="2719"/>
      <c r="O288" s="2439" t="s">
        <v>800</v>
      </c>
      <c r="P288" s="3207" t="s">
        <v>812</v>
      </c>
      <c r="Q288" s="3208"/>
      <c r="R288" s="3209"/>
      <c r="S288" s="2151"/>
      <c r="T288" s="2464"/>
      <c r="U288" s="3183" t="s">
        <v>88</v>
      </c>
      <c r="V288" s="3184"/>
      <c r="X288" s="3188" t="s">
        <v>506</v>
      </c>
      <c r="Y288" s="3186"/>
      <c r="Z288" s="3186"/>
      <c r="AA288" s="2151"/>
      <c r="AB288" s="2153"/>
      <c r="AC288" s="3189" t="s">
        <v>88</v>
      </c>
      <c r="AD288" s="3190"/>
    </row>
    <row r="289" spans="1:39" ht="26.25" thickBot="1" x14ac:dyDescent="0.25">
      <c r="A289" s="2465"/>
      <c r="B289" s="1702" t="s">
        <v>228</v>
      </c>
      <c r="C289" s="1702" t="s">
        <v>54</v>
      </c>
      <c r="D289" s="2466" t="s">
        <v>91</v>
      </c>
      <c r="E289" s="1702" t="s">
        <v>92</v>
      </c>
      <c r="F289" s="1702"/>
      <c r="G289" s="1702"/>
      <c r="H289" s="2467" t="s">
        <v>54</v>
      </c>
      <c r="I289" s="2467" t="s">
        <v>92</v>
      </c>
      <c r="J289" s="328"/>
      <c r="K289" s="1703"/>
      <c r="N289" s="2720"/>
      <c r="O289" s="1702" t="s">
        <v>228</v>
      </c>
      <c r="P289" s="1702" t="s">
        <v>54</v>
      </c>
      <c r="Q289" s="2466" t="s">
        <v>91</v>
      </c>
      <c r="R289" s="1702" t="s">
        <v>92</v>
      </c>
      <c r="S289" s="1702"/>
      <c r="T289" s="1702"/>
      <c r="U289" s="2467" t="s">
        <v>54</v>
      </c>
      <c r="V289" s="2721" t="s">
        <v>92</v>
      </c>
      <c r="X289" s="2154" t="s">
        <v>90</v>
      </c>
      <c r="Y289" s="2155" t="s">
        <v>91</v>
      </c>
      <c r="Z289" s="2158" t="s">
        <v>507</v>
      </c>
      <c r="AA289" s="2158"/>
      <c r="AB289" s="2161"/>
      <c r="AC289" s="2162" t="s">
        <v>54</v>
      </c>
      <c r="AD289" s="2163" t="s">
        <v>507</v>
      </c>
    </row>
    <row r="290" spans="1:39" s="2220" customFormat="1" ht="25.5" x14ac:dyDescent="0.2">
      <c r="A290" s="2468"/>
      <c r="B290" s="2469" t="s">
        <v>643</v>
      </c>
      <c r="C290" s="1699"/>
      <c r="D290" s="1700"/>
      <c r="E290" s="1701"/>
      <c r="F290" s="2470"/>
      <c r="G290" s="1702"/>
      <c r="H290" s="2470"/>
      <c r="I290" s="2470"/>
      <c r="K290" s="2221"/>
      <c r="N290" s="2722"/>
      <c r="O290" s="2471" t="s">
        <v>643</v>
      </c>
      <c r="P290" s="1699">
        <v>75</v>
      </c>
      <c r="Q290" s="1700"/>
      <c r="R290" s="1701"/>
      <c r="S290" s="2470"/>
      <c r="T290" s="1702"/>
      <c r="U290" s="2470"/>
      <c r="V290" s="2723"/>
      <c r="X290" s="1841">
        <f t="shared" ref="X290:Z292" si="124">P290-C290</f>
        <v>75</v>
      </c>
      <c r="Y290" s="2409">
        <f t="shared" si="124"/>
        <v>0</v>
      </c>
      <c r="Z290" s="2409">
        <f t="shared" si="124"/>
        <v>0</v>
      </c>
      <c r="AA290" s="2409">
        <f>F290-S290</f>
        <v>0</v>
      </c>
      <c r="AB290" s="2224">
        <f>T290-F290</f>
        <v>0</v>
      </c>
      <c r="AC290" s="2409">
        <f t="shared" ref="AC290:AD292" si="125">U290-H290</f>
        <v>0</v>
      </c>
      <c r="AD290" s="2409">
        <f t="shared" si="125"/>
        <v>0</v>
      </c>
    </row>
    <row r="291" spans="1:39" s="2220" customFormat="1" x14ac:dyDescent="0.2">
      <c r="A291" s="2472"/>
      <c r="B291" s="2473" t="s">
        <v>644</v>
      </c>
      <c r="C291" s="1709"/>
      <c r="D291" s="1710"/>
      <c r="E291" s="1711"/>
      <c r="F291" s="2399"/>
      <c r="G291" s="1702"/>
      <c r="H291" s="1709"/>
      <c r="I291" s="1709"/>
      <c r="K291" s="2221"/>
      <c r="N291" s="2724"/>
      <c r="O291" s="2473" t="s">
        <v>644</v>
      </c>
      <c r="P291" s="1709">
        <v>15</v>
      </c>
      <c r="Q291" s="1710"/>
      <c r="R291" s="1711"/>
      <c r="S291" s="2399"/>
      <c r="T291" s="1702"/>
      <c r="U291" s="1709"/>
      <c r="V291" s="2725"/>
      <c r="X291" s="1841">
        <f t="shared" si="124"/>
        <v>15</v>
      </c>
      <c r="Y291" s="2409">
        <f t="shared" si="124"/>
        <v>0</v>
      </c>
      <c r="Z291" s="2409">
        <f t="shared" si="124"/>
        <v>0</v>
      </c>
      <c r="AA291" s="2409">
        <f>F291-S291</f>
        <v>0</v>
      </c>
      <c r="AB291" s="2224">
        <f>T291-F291</f>
        <v>0</v>
      </c>
      <c r="AC291" s="2409">
        <f t="shared" si="125"/>
        <v>0</v>
      </c>
      <c r="AD291" s="2409">
        <f t="shared" si="125"/>
        <v>0</v>
      </c>
    </row>
    <row r="292" spans="1:39" x14ac:dyDescent="0.2">
      <c r="A292" s="1707"/>
      <c r="B292" s="1708" t="s">
        <v>645</v>
      </c>
      <c r="C292" s="1709"/>
      <c r="D292" s="1710"/>
      <c r="E292" s="1711"/>
      <c r="F292" s="325"/>
      <c r="G292" s="1702"/>
      <c r="H292" s="1712"/>
      <c r="I292" s="1712"/>
      <c r="J292" s="328"/>
      <c r="K292" s="1703"/>
      <c r="N292" s="2726"/>
      <c r="O292" s="1708" t="s">
        <v>645</v>
      </c>
      <c r="P292" s="1712">
        <v>75</v>
      </c>
      <c r="Q292" s="1713">
        <v>2000</v>
      </c>
      <c r="R292" s="1714">
        <f>P292*Q292</f>
        <v>150000</v>
      </c>
      <c r="S292" s="325"/>
      <c r="T292" s="1702"/>
      <c r="U292" s="1712"/>
      <c r="V292" s="2727"/>
      <c r="X292" s="1704">
        <f t="shared" si="124"/>
        <v>75</v>
      </c>
      <c r="Y292" s="1705">
        <f t="shared" si="124"/>
        <v>2000</v>
      </c>
      <c r="Z292" s="1705">
        <f t="shared" si="124"/>
        <v>150000</v>
      </c>
      <c r="AA292" s="1705">
        <f>F292-S292</f>
        <v>0</v>
      </c>
      <c r="AB292" s="1706">
        <f>T292-F292</f>
        <v>0</v>
      </c>
      <c r="AC292" s="1705">
        <f t="shared" si="125"/>
        <v>0</v>
      </c>
      <c r="AD292" s="1705">
        <f t="shared" si="125"/>
        <v>0</v>
      </c>
    </row>
    <row r="293" spans="1:39" s="2220" customFormat="1" ht="13.5" thickBot="1" x14ac:dyDescent="0.25">
      <c r="A293" s="2474"/>
      <c r="B293" s="1789"/>
      <c r="C293" s="2290"/>
      <c r="D293" s="2475"/>
      <c r="E293" s="2476">
        <f>SUM(E292)</f>
        <v>0</v>
      </c>
      <c r="F293" s="2476">
        <f>SUM(F292)</f>
        <v>0</v>
      </c>
      <c r="G293" s="2476">
        <f>SUM(G292)</f>
        <v>0</v>
      </c>
      <c r="H293" s="2476">
        <f>SUM(H292)</f>
        <v>0</v>
      </c>
      <c r="I293" s="2476">
        <f>SUM(I292)</f>
        <v>0</v>
      </c>
      <c r="K293" s="2221"/>
      <c r="N293" s="2728"/>
      <c r="O293" s="1789"/>
      <c r="P293" s="2729"/>
      <c r="Q293" s="2730"/>
      <c r="R293" s="2731">
        <f>SUM(R292)</f>
        <v>150000</v>
      </c>
      <c r="S293" s="2732">
        <f>SUM(S292)</f>
        <v>0</v>
      </c>
      <c r="T293" s="2732">
        <f>SUM(T292)</f>
        <v>0</v>
      </c>
      <c r="U293" s="2732">
        <f>SUM(U292)</f>
        <v>0</v>
      </c>
      <c r="V293" s="2733">
        <f>SUM(V292)</f>
        <v>0</v>
      </c>
      <c r="X293" s="2290"/>
      <c r="Y293" s="2200"/>
      <c r="Z293" s="2476">
        <f>SUM(Z292)</f>
        <v>150000</v>
      </c>
      <c r="AA293" s="2476">
        <f>SUM(AA292)</f>
        <v>0</v>
      </c>
      <c r="AB293" s="2476">
        <f>SUM(AB292)</f>
        <v>0</v>
      </c>
      <c r="AC293" s="2476">
        <f>SUM(AC292)</f>
        <v>0</v>
      </c>
      <c r="AD293" s="2476">
        <f>SUM(AD292)</f>
        <v>0</v>
      </c>
    </row>
    <row r="294" spans="1:39" x14ac:dyDescent="0.2">
      <c r="A294" s="2145"/>
      <c r="B294" s="2477"/>
      <c r="C294" s="1703"/>
      <c r="D294" s="2148"/>
      <c r="E294" s="2478"/>
      <c r="F294" s="345"/>
      <c r="G294" s="2479"/>
      <c r="H294" s="2480"/>
      <c r="I294" s="2480"/>
      <c r="J294" s="328"/>
      <c r="K294" s="1703"/>
      <c r="N294" s="2145"/>
      <c r="O294" s="2477"/>
      <c r="P294" s="1703"/>
      <c r="Q294" s="2148"/>
      <c r="R294" s="2478">
        <f>R293-'[4]פרוט (3)'!$V$301</f>
        <v>0</v>
      </c>
      <c r="S294" s="345"/>
      <c r="T294" s="2479"/>
      <c r="U294" s="2480"/>
      <c r="V294" s="2480"/>
    </row>
    <row r="295" spans="1:39" x14ac:dyDescent="0.2">
      <c r="A295" s="2145"/>
      <c r="C295" s="1703"/>
      <c r="D295" s="2192"/>
      <c r="E295" s="2145"/>
      <c r="F295" s="2145"/>
      <c r="G295" s="2481"/>
      <c r="H295" s="2482"/>
      <c r="I295" s="2482"/>
      <c r="J295" s="328"/>
      <c r="K295" s="1703"/>
      <c r="N295" s="2145"/>
      <c r="O295" s="1703"/>
      <c r="P295" s="1703"/>
      <c r="Q295" s="2192"/>
      <c r="R295" s="2145"/>
      <c r="S295" s="2145"/>
      <c r="T295" s="2481"/>
      <c r="U295" s="2482"/>
      <c r="V295" s="2482"/>
    </row>
    <row r="296" spans="1:39" x14ac:dyDescent="0.2">
      <c r="C296" s="1703"/>
      <c r="G296" s="2483"/>
      <c r="H296" s="2484"/>
      <c r="I296" s="2484"/>
      <c r="J296" s="328"/>
      <c r="K296" s="1703"/>
      <c r="O296" s="1703"/>
      <c r="P296" s="1703"/>
      <c r="T296" s="2483"/>
      <c r="U296" s="2484"/>
      <c r="V296" s="2484"/>
    </row>
    <row r="297" spans="1:39" ht="13.5" thickBot="1" x14ac:dyDescent="0.25">
      <c r="B297" s="328"/>
      <c r="G297" s="328"/>
      <c r="J297" s="328"/>
      <c r="K297" s="1703"/>
      <c r="O297" s="1703"/>
      <c r="P297" s="1703"/>
      <c r="T297" s="2483"/>
      <c r="U297" s="2484"/>
      <c r="V297" s="2484"/>
      <c r="AG297" s="2441"/>
      <c r="AH297" s="2441"/>
      <c r="AI297" s="2441"/>
      <c r="AJ297" s="2441"/>
      <c r="AK297" s="2441"/>
      <c r="AL297" s="2441"/>
      <c r="AM297" s="2441"/>
    </row>
    <row r="298" spans="1:39" ht="26.25" thickBot="1" x14ac:dyDescent="0.25">
      <c r="A298" s="2485"/>
      <c r="B298" s="2439" t="s">
        <v>646</v>
      </c>
      <c r="C298" s="3183" t="s">
        <v>642</v>
      </c>
      <c r="D298" s="3191"/>
      <c r="E298" s="3192"/>
      <c r="F298" s="2463"/>
      <c r="G298" s="2464"/>
      <c r="H298" s="3183" t="s">
        <v>88</v>
      </c>
      <c r="I298" s="3184"/>
      <c r="J298" s="328"/>
      <c r="K298" s="1703"/>
      <c r="N298" s="2150"/>
      <c r="O298" s="2439" t="s">
        <v>801</v>
      </c>
      <c r="P298" s="3185" t="s">
        <v>812</v>
      </c>
      <c r="Q298" s="3186"/>
      <c r="R298" s="3186"/>
      <c r="S298" s="2151"/>
      <c r="T298" s="2151"/>
      <c r="U298" s="3186" t="s">
        <v>88</v>
      </c>
      <c r="V298" s="3187"/>
      <c r="X298" s="3188" t="s">
        <v>506</v>
      </c>
      <c r="Y298" s="3186"/>
      <c r="Z298" s="3186"/>
      <c r="AA298" s="2151"/>
      <c r="AB298" s="2153"/>
      <c r="AC298" s="3189" t="s">
        <v>88</v>
      </c>
      <c r="AD298" s="3190"/>
      <c r="AG298" s="1718"/>
      <c r="AH298" s="1718"/>
      <c r="AI298" s="1718"/>
      <c r="AJ298" s="1718"/>
      <c r="AK298" s="1718"/>
      <c r="AL298" s="1718"/>
      <c r="AM298" s="1718"/>
    </row>
    <row r="299" spans="1:39" ht="25.5" x14ac:dyDescent="0.2">
      <c r="A299" s="2486"/>
      <c r="B299" s="1716" t="s">
        <v>228</v>
      </c>
      <c r="C299" s="1716" t="s">
        <v>54</v>
      </c>
      <c r="D299" s="2487" t="s">
        <v>91</v>
      </c>
      <c r="E299" s="1716" t="s">
        <v>92</v>
      </c>
      <c r="F299" s="1716"/>
      <c r="G299" s="1716"/>
      <c r="H299" s="1716" t="s">
        <v>54</v>
      </c>
      <c r="I299" s="1716" t="s">
        <v>92</v>
      </c>
      <c r="J299" s="328"/>
      <c r="K299" s="1703"/>
      <c r="N299" s="2154"/>
      <c r="O299" s="2155" t="s">
        <v>228</v>
      </c>
      <c r="P299" s="2155" t="s">
        <v>54</v>
      </c>
      <c r="Q299" s="2156" t="s">
        <v>91</v>
      </c>
      <c r="R299" s="2155" t="s">
        <v>92</v>
      </c>
      <c r="S299" s="2155"/>
      <c r="T299" s="2155"/>
      <c r="U299" s="2155" t="s">
        <v>54</v>
      </c>
      <c r="V299" s="2157" t="s">
        <v>92</v>
      </c>
      <c r="X299" s="2154" t="s">
        <v>90</v>
      </c>
      <c r="Y299" s="2155" t="s">
        <v>91</v>
      </c>
      <c r="Z299" s="2158" t="s">
        <v>507</v>
      </c>
      <c r="AA299" s="2158"/>
      <c r="AB299" s="2161"/>
      <c r="AC299" s="2162" t="s">
        <v>54</v>
      </c>
      <c r="AD299" s="2163" t="s">
        <v>507</v>
      </c>
      <c r="AG299" s="1718"/>
      <c r="AH299" s="1718"/>
      <c r="AI299" s="1718"/>
      <c r="AJ299" s="1718"/>
      <c r="AK299" s="1718"/>
      <c r="AL299" s="1718"/>
      <c r="AM299" s="1718"/>
    </row>
    <row r="300" spans="1:39" x14ac:dyDescent="0.2">
      <c r="A300" s="1715"/>
      <c r="B300" s="534" t="s">
        <v>647</v>
      </c>
      <c r="C300" s="356"/>
      <c r="D300" s="1640"/>
      <c r="E300" s="325"/>
      <c r="F300" s="325"/>
      <c r="G300" s="1716"/>
      <c r="H300" s="1712"/>
      <c r="I300" s="1717"/>
      <c r="J300" s="328"/>
      <c r="K300" s="1703"/>
      <c r="N300" s="2419"/>
      <c r="O300" s="288" t="s">
        <v>647</v>
      </c>
      <c r="P300" s="356"/>
      <c r="Q300" s="1640"/>
      <c r="R300" s="325"/>
      <c r="S300" s="325"/>
      <c r="T300" s="2155"/>
      <c r="U300" s="1713">
        <v>5</v>
      </c>
      <c r="V300" s="2712">
        <f>(23500+12000)*J1</f>
        <v>134900</v>
      </c>
      <c r="X300" s="1704">
        <f>P300-C300</f>
        <v>0</v>
      </c>
      <c r="Y300" s="1704">
        <f>Q300-D300</f>
        <v>0</v>
      </c>
      <c r="Z300" s="1704">
        <f>R300-E300</f>
        <v>0</v>
      </c>
      <c r="AA300" s="1704">
        <f>S300-F300</f>
        <v>0</v>
      </c>
      <c r="AB300" s="1706" t="e">
        <f>#REF!-#REF!</f>
        <v>#REF!</v>
      </c>
      <c r="AC300" s="1704">
        <f>U300-H300</f>
        <v>5</v>
      </c>
      <c r="AD300" s="1704">
        <f>V300-I300</f>
        <v>134900</v>
      </c>
      <c r="AG300" s="1718"/>
      <c r="AH300" s="1718"/>
      <c r="AI300" s="1718"/>
      <c r="AJ300" s="1718"/>
      <c r="AK300" s="1718"/>
      <c r="AL300" s="1718"/>
      <c r="AM300" s="1718"/>
    </row>
    <row r="301" spans="1:39" ht="13.5" thickBot="1" x14ac:dyDescent="0.25">
      <c r="A301" s="318"/>
      <c r="B301" s="2488" t="s">
        <v>13</v>
      </c>
      <c r="C301" s="2489"/>
      <c r="D301" s="1858"/>
      <c r="E301" s="318"/>
      <c r="F301" s="318"/>
      <c r="G301" s="2490"/>
      <c r="H301" s="2491"/>
      <c r="I301" s="2492">
        <f>SUM(I300)</f>
        <v>0</v>
      </c>
      <c r="J301" s="328"/>
      <c r="K301" s="1703"/>
      <c r="N301" s="2713"/>
      <c r="O301" s="2271" t="s">
        <v>13</v>
      </c>
      <c r="P301" s="2714"/>
      <c r="Q301" s="1788"/>
      <c r="R301" s="1790"/>
      <c r="S301" s="1790"/>
      <c r="T301" s="2716"/>
      <c r="U301" s="2717"/>
      <c r="V301" s="2718">
        <f>SUM(V300)</f>
        <v>134900</v>
      </c>
      <c r="X301" s="1750"/>
      <c r="Y301" s="1750"/>
      <c r="Z301" s="1752">
        <f>SUM(Z300)</f>
        <v>0</v>
      </c>
      <c r="AA301" s="1752">
        <f>SUM(AA300)</f>
        <v>0</v>
      </c>
      <c r="AB301" s="1752" t="e">
        <f>SUM(AB297:AB300)</f>
        <v>#REF!</v>
      </c>
      <c r="AC301" s="1752">
        <f>SUM(AC300)</f>
        <v>5</v>
      </c>
      <c r="AD301" s="1752">
        <f>SUM(AD300)</f>
        <v>134900</v>
      </c>
      <c r="AG301" s="1718"/>
      <c r="AH301" s="1718"/>
      <c r="AI301" s="1718"/>
      <c r="AJ301" s="1718"/>
      <c r="AK301" s="1718"/>
      <c r="AL301" s="1718"/>
      <c r="AM301" s="1718"/>
    </row>
    <row r="302" spans="1:39" ht="13.5" thickBot="1" x14ac:dyDescent="0.25">
      <c r="C302" s="1703"/>
      <c r="G302" s="2483"/>
      <c r="H302" s="2484"/>
      <c r="I302" s="2484"/>
      <c r="J302" s="328"/>
      <c r="K302" s="1703"/>
      <c r="O302" s="1703"/>
      <c r="P302" s="1703"/>
      <c r="T302" s="2483"/>
      <c r="U302" s="2484"/>
      <c r="V302" s="2813">
        <f>-V301+'[3]פרוט (4)'!$Z$348</f>
        <v>0</v>
      </c>
      <c r="AG302" s="1718"/>
      <c r="AH302" s="1718"/>
      <c r="AI302" s="1718"/>
      <c r="AJ302" s="1718"/>
      <c r="AK302" s="1718"/>
      <c r="AL302" s="1718"/>
      <c r="AM302" s="1718"/>
    </row>
    <row r="303" spans="1:39" ht="13.5" thickBot="1" x14ac:dyDescent="0.25">
      <c r="A303" s="2485"/>
      <c r="B303" s="2439" t="s">
        <v>577</v>
      </c>
      <c r="C303" s="3183" t="s">
        <v>642</v>
      </c>
      <c r="D303" s="3191"/>
      <c r="E303" s="3192"/>
      <c r="F303" s="2463"/>
      <c r="G303" s="2464"/>
      <c r="H303" s="3183" t="s">
        <v>88</v>
      </c>
      <c r="I303" s="3184"/>
      <c r="J303" s="328"/>
      <c r="K303" s="1703"/>
      <c r="N303" s="2700"/>
      <c r="O303" s="2701" t="s">
        <v>577</v>
      </c>
      <c r="P303" s="3212" t="s">
        <v>812</v>
      </c>
      <c r="Q303" s="3191"/>
      <c r="R303" s="3192"/>
      <c r="S303" s="2464"/>
      <c r="T303" s="2464"/>
      <c r="U303" s="3183" t="s">
        <v>88</v>
      </c>
      <c r="V303" s="3184"/>
      <c r="X303" s="3188" t="s">
        <v>506</v>
      </c>
      <c r="Y303" s="3186"/>
      <c r="Z303" s="3186"/>
      <c r="AA303" s="2151"/>
      <c r="AB303" s="2153"/>
      <c r="AC303" s="3189" t="s">
        <v>88</v>
      </c>
      <c r="AD303" s="3190"/>
      <c r="AG303" s="1718"/>
      <c r="AH303" s="1718"/>
      <c r="AI303" s="1718"/>
      <c r="AJ303" s="1718"/>
      <c r="AK303" s="1718"/>
      <c r="AL303" s="1718"/>
      <c r="AM303" s="1718"/>
    </row>
    <row r="304" spans="1:39" ht="25.5" x14ac:dyDescent="0.2">
      <c r="A304" s="2486"/>
      <c r="B304" s="1716" t="s">
        <v>228</v>
      </c>
      <c r="C304" s="1716" t="s">
        <v>54</v>
      </c>
      <c r="D304" s="2487" t="s">
        <v>91</v>
      </c>
      <c r="E304" s="1716" t="s">
        <v>92</v>
      </c>
      <c r="F304" s="1716"/>
      <c r="G304" s="1716"/>
      <c r="H304" s="1716" t="s">
        <v>54</v>
      </c>
      <c r="I304" s="1716" t="s">
        <v>92</v>
      </c>
      <c r="J304" s="328"/>
      <c r="K304" s="1703"/>
      <c r="N304" s="2706"/>
      <c r="O304" s="2707" t="s">
        <v>228</v>
      </c>
      <c r="P304" s="2707" t="s">
        <v>54</v>
      </c>
      <c r="Q304" s="2708" t="s">
        <v>91</v>
      </c>
      <c r="R304" s="2707" t="s">
        <v>92</v>
      </c>
      <c r="S304" s="2707"/>
      <c r="T304" s="2707"/>
      <c r="U304" s="2707" t="s">
        <v>54</v>
      </c>
      <c r="V304" s="2709" t="s">
        <v>92</v>
      </c>
      <c r="X304" s="2154" t="s">
        <v>90</v>
      </c>
      <c r="Y304" s="2155" t="s">
        <v>91</v>
      </c>
      <c r="Z304" s="2158" t="s">
        <v>507</v>
      </c>
      <c r="AA304" s="2158"/>
      <c r="AB304" s="2161"/>
      <c r="AC304" s="2162" t="s">
        <v>54</v>
      </c>
      <c r="AD304" s="2163" t="s">
        <v>507</v>
      </c>
      <c r="AG304" s="1718"/>
      <c r="AH304" s="1718"/>
      <c r="AI304" s="1718"/>
      <c r="AJ304" s="1718"/>
      <c r="AK304" s="1718"/>
      <c r="AL304" s="1718"/>
      <c r="AM304" s="1718"/>
    </row>
    <row r="305" spans="1:39" s="1741" customFormat="1" x14ac:dyDescent="0.2">
      <c r="A305" s="2523"/>
      <c r="B305" s="2524"/>
      <c r="C305" s="2525"/>
      <c r="D305" s="1758"/>
      <c r="E305" s="1759"/>
      <c r="F305" s="1759"/>
      <c r="G305" s="2526"/>
      <c r="H305" s="2527"/>
      <c r="I305" s="1863"/>
      <c r="K305" s="201"/>
      <c r="N305" s="2710"/>
      <c r="O305" s="2702" t="s">
        <v>810</v>
      </c>
      <c r="P305" s="618">
        <v>500</v>
      </c>
      <c r="Q305" s="2703"/>
      <c r="R305" s="340"/>
      <c r="S305" s="340"/>
      <c r="T305" s="590"/>
      <c r="U305" s="2704"/>
      <c r="V305" s="2711"/>
      <c r="X305" s="1742"/>
      <c r="Y305" s="2528"/>
      <c r="Z305" s="2528"/>
      <c r="AA305" s="2528"/>
      <c r="AB305" s="1744"/>
      <c r="AC305" s="2528"/>
      <c r="AD305" s="2529"/>
      <c r="AG305" s="1881"/>
      <c r="AH305" s="1881"/>
      <c r="AI305" s="1881"/>
      <c r="AJ305" s="1881"/>
      <c r="AK305" s="1881"/>
      <c r="AL305" s="1881"/>
      <c r="AM305" s="1881"/>
    </row>
    <row r="306" spans="1:39" x14ac:dyDescent="0.2">
      <c r="A306" s="2518"/>
      <c r="B306" s="534"/>
      <c r="C306" s="2369"/>
      <c r="D306" s="1644"/>
      <c r="E306" s="2243"/>
      <c r="F306" s="2243"/>
      <c r="G306" s="1716"/>
      <c r="H306" s="2519"/>
      <c r="I306" s="2520"/>
      <c r="J306" s="328"/>
      <c r="K306" s="1703"/>
      <c r="N306" s="2419"/>
      <c r="O306" s="288" t="s">
        <v>811</v>
      </c>
      <c r="P306" s="356">
        <f>P305</f>
        <v>500</v>
      </c>
      <c r="Q306" s="1640">
        <v>96</v>
      </c>
      <c r="R306" s="2705">
        <f>P306*Q306</f>
        <v>48000</v>
      </c>
      <c r="S306" s="325"/>
      <c r="T306" s="2155"/>
      <c r="U306" s="1713"/>
      <c r="V306" s="2712"/>
      <c r="X306" s="1704"/>
      <c r="Y306" s="2521"/>
      <c r="Z306" s="2521"/>
      <c r="AA306" s="2521"/>
      <c r="AB306" s="1706"/>
      <c r="AC306" s="2521"/>
      <c r="AD306" s="2522"/>
      <c r="AG306" s="1718"/>
      <c r="AH306" s="1718"/>
      <c r="AI306" s="1718"/>
      <c r="AJ306" s="1718"/>
      <c r="AK306" s="1718"/>
      <c r="AL306" s="1718"/>
      <c r="AM306" s="1718"/>
    </row>
    <row r="307" spans="1:39" x14ac:dyDescent="0.2">
      <c r="A307" s="1715"/>
      <c r="B307" s="534" t="s">
        <v>647</v>
      </c>
      <c r="C307" s="356"/>
      <c r="D307" s="1640"/>
      <c r="E307" s="325"/>
      <c r="F307" s="325"/>
      <c r="G307" s="1716"/>
      <c r="H307" s="1712"/>
      <c r="I307" s="1717"/>
      <c r="J307" s="328"/>
      <c r="K307" s="1703"/>
      <c r="N307" s="2419"/>
      <c r="O307" s="288" t="s">
        <v>647</v>
      </c>
      <c r="P307" s="356">
        <f>P305</f>
        <v>500</v>
      </c>
      <c r="Q307" s="1640">
        <v>24</v>
      </c>
      <c r="R307" s="2705">
        <f>P307*Q307</f>
        <v>12000</v>
      </c>
      <c r="S307" s="325"/>
      <c r="T307" s="2155"/>
      <c r="U307" s="1713"/>
      <c r="V307" s="2712"/>
      <c r="X307" s="1704">
        <f>P307-C307</f>
        <v>500</v>
      </c>
      <c r="Y307" s="1704">
        <f>Q307-D307</f>
        <v>24</v>
      </c>
      <c r="Z307" s="1704">
        <f>R307-E307</f>
        <v>12000</v>
      </c>
      <c r="AA307" s="1704">
        <f>S307-F307</f>
        <v>0</v>
      </c>
      <c r="AB307" s="1706" t="e">
        <f>#REF!-#REF!</f>
        <v>#REF!</v>
      </c>
      <c r="AC307" s="1704">
        <f>U307-H307</f>
        <v>0</v>
      </c>
      <c r="AD307" s="1704">
        <f>V307-I307</f>
        <v>0</v>
      </c>
      <c r="AG307" s="1718"/>
      <c r="AH307" s="1718"/>
      <c r="AI307" s="1718"/>
      <c r="AJ307" s="1718"/>
      <c r="AK307" s="1718"/>
      <c r="AL307" s="1718"/>
      <c r="AM307" s="1718"/>
    </row>
    <row r="308" spans="1:39" ht="13.5" thickBot="1" x14ac:dyDescent="0.25">
      <c r="A308" s="318"/>
      <c r="B308" s="2488" t="s">
        <v>13</v>
      </c>
      <c r="C308" s="2489"/>
      <c r="D308" s="1858"/>
      <c r="E308" s="318"/>
      <c r="F308" s="318"/>
      <c r="G308" s="2490"/>
      <c r="H308" s="2491"/>
      <c r="I308" s="2492">
        <f>SUM(I307)</f>
        <v>0</v>
      </c>
      <c r="J308" s="328"/>
      <c r="K308" s="1703"/>
      <c r="N308" s="2713"/>
      <c r="O308" s="2271" t="s">
        <v>13</v>
      </c>
      <c r="P308" s="2714"/>
      <c r="Q308" s="1788"/>
      <c r="R308" s="2715">
        <f>SUM(R306:R307)</f>
        <v>60000</v>
      </c>
      <c r="S308" s="1790"/>
      <c r="T308" s="2716"/>
      <c r="U308" s="2717"/>
      <c r="V308" s="2718">
        <f>SUM(V307)</f>
        <v>0</v>
      </c>
      <c r="X308" s="1750"/>
      <c r="Y308" s="1750"/>
      <c r="Z308" s="1752">
        <f>SUM(Z307)</f>
        <v>12000</v>
      </c>
      <c r="AA308" s="1752">
        <f>SUM(AA307)</f>
        <v>0</v>
      </c>
      <c r="AB308" s="1752" t="e">
        <f>SUM(AB302:AB307)</f>
        <v>#REF!</v>
      </c>
      <c r="AC308" s="1752">
        <f>SUM(AC307)</f>
        <v>0</v>
      </c>
      <c r="AD308" s="1752">
        <f>SUM(AD307)</f>
        <v>0</v>
      </c>
      <c r="AG308" s="1718"/>
      <c r="AH308" s="1718"/>
      <c r="AI308" s="1718"/>
      <c r="AJ308" s="1718"/>
      <c r="AK308" s="1718"/>
      <c r="AL308" s="1718"/>
      <c r="AM308" s="1718"/>
    </row>
    <row r="309" spans="1:39" x14ac:dyDescent="0.2">
      <c r="O309" s="1703"/>
      <c r="R309" s="620"/>
      <c r="T309" s="2145"/>
    </row>
    <row r="310" spans="1:39" ht="13.5" thickBot="1" x14ac:dyDescent="0.25"/>
    <row r="311" spans="1:39" s="620" customFormat="1" ht="13.5" thickBot="1" x14ac:dyDescent="0.25">
      <c r="A311" s="2493"/>
      <c r="B311" s="2494" t="s">
        <v>13</v>
      </c>
      <c r="C311" s="2495"/>
      <c r="D311" s="2496"/>
      <c r="E311" s="2497">
        <f>E14+E39+E57+E72+E87+E96+E110+E133+E143+E165+E173+E187+E201+E211+E232+E241+E251+E270+E285+E293+E301+E308</f>
        <v>13477334.673532806</v>
      </c>
      <c r="F311" s="2497">
        <f>F14+F39+F57+F72+F87+F96+F110+F133+F143+F165+F173+F187+F201+F211+F232+F241+F251+F270+F285+F293+F301+F308</f>
        <v>598945.19999999995</v>
      </c>
      <c r="G311" s="2497">
        <f>G14+G39+G57+G72+G87+G96+G110+G133+G143+G165+G173+G187+G201+G211+G232+G241+G251+G270+G285+G293+G301+G308</f>
        <v>0</v>
      </c>
      <c r="H311" s="2497"/>
      <c r="I311" s="2497">
        <f>I14+I39+I57+I72+I87+I96+I110+I133+I143+I165+I173+I187+I201+I211+I232+I241+I251+I270+I285+I293+I301+I308</f>
        <v>8982589.6070629377</v>
      </c>
      <c r="J311" s="619"/>
      <c r="K311" s="619"/>
      <c r="N311" s="2493"/>
      <c r="O311" s="2494" t="s">
        <v>13</v>
      </c>
      <c r="P311" s="2495"/>
      <c r="Q311" s="2496"/>
      <c r="R311" s="2497">
        <f t="shared" ref="R311:T311" si="126">R14+R39+R57+R72+R87+R96+R110+R133+R143+R165+R173+R187+R201+R211+R232+R241+R251+R270+R285+R293+R301+R308</f>
        <v>15767403.150948524</v>
      </c>
      <c r="S311" s="2497">
        <f t="shared" si="126"/>
        <v>666620.58627142862</v>
      </c>
      <c r="T311" s="2497">
        <f t="shared" si="126"/>
        <v>0</v>
      </c>
      <c r="U311" s="2497"/>
      <c r="V311" s="2497">
        <f>V14+V39+V57+V72+V87+V96+V110+V133+V143+V165+V173+V187+V201+V211+V232+V241+V251+V270+V285+V293+V301+V308</f>
        <v>13873967.018095238</v>
      </c>
      <c r="X311" s="2495"/>
      <c r="Y311" s="2497"/>
      <c r="Z311" s="2497">
        <f>Z14+Z39+Z57+Z72+Z87+Z96+Z110+Z133+Z143+Z165+Z173+Z187+Z201+Z211+Z232+Z241+Z251+Z270+Z285+Z293+Z301+Z308</f>
        <v>2306317.9655109551</v>
      </c>
      <c r="AA311" s="2497">
        <f>AA14+AA39+AA57+AA72+AA87+AA96+AA110+AA133+AA143+AA165+AA173+AA187+AA201+AA211+AA232+AA241+AA251+AA270+AA285+AA293+AA301+AA308</f>
        <v>137587.38627142858</v>
      </c>
      <c r="AB311" s="2497" t="e">
        <f>AB14+AB39+AB57+AB72+AB87+AB96+AB110+AB133+AB143+AB165+AB173+AB187+AB201+AB211+AB232+AB241+AB251+AB270+AB285+AB293+AB301+AB308</f>
        <v>#REF!</v>
      </c>
      <c r="AC311" s="2497"/>
      <c r="AD311" s="2497">
        <f>AD14+AD39+AD57+AD72+AD87+AD96+AD110+AD133+AD143+AD165+AD173+AD187+AD201+AD211+AD232+AD241+AD251+AD270+AD285+AD293+AD301+AD308</f>
        <v>3982828.3504262408</v>
      </c>
    </row>
    <row r="312" spans="1:39" x14ac:dyDescent="0.2">
      <c r="E312" s="620">
        <f>-E311+'[1]חמ"ע'!$E$321</f>
        <v>7048.053846154362</v>
      </c>
      <c r="F312" s="620">
        <f>-F311+'[1]חמ"ע'!$F$321</f>
        <v>0</v>
      </c>
      <c r="I312" s="620">
        <f>-I311+'[1]חמ"ע'!$I$321</f>
        <v>0</v>
      </c>
      <c r="R312" s="620">
        <f>-R311+'[1]חמ"ע'!$R$321</f>
        <v>-130740.54400000162</v>
      </c>
      <c r="S312" s="620">
        <f>-S311+'[1]חמ"ע'!$S$321</f>
        <v>6480.8999999999069</v>
      </c>
      <c r="T312" s="620">
        <f>-T311+'[1]חמ"ע'!$I$321</f>
        <v>8982589.6070629377</v>
      </c>
      <c r="U312" s="620"/>
      <c r="V312" s="620">
        <f>-V311+'סיכום 9.17  '!K24</f>
        <v>0</v>
      </c>
    </row>
    <row r="313" spans="1:39" x14ac:dyDescent="0.2">
      <c r="R313" s="620"/>
      <c r="S313" s="620"/>
      <c r="V313" s="620"/>
    </row>
    <row r="314" spans="1:39" s="327" customFormat="1" x14ac:dyDescent="0.2">
      <c r="B314" s="2803"/>
    </row>
    <row r="315" spans="1:39" x14ac:dyDescent="0.2">
      <c r="R315" s="2498"/>
    </row>
    <row r="317" spans="1:39" x14ac:dyDescent="0.2">
      <c r="R317" s="327"/>
      <c r="S317" s="327"/>
      <c r="Z317" s="327"/>
      <c r="AA317" s="327"/>
    </row>
    <row r="318" spans="1:39" x14ac:dyDescent="0.2">
      <c r="R318" s="2498"/>
    </row>
    <row r="321" spans="18:22" x14ac:dyDescent="0.2">
      <c r="R321" s="620"/>
      <c r="S321" s="620"/>
      <c r="V321" s="620"/>
    </row>
  </sheetData>
  <mergeCells count="142">
    <mergeCell ref="C303:E303"/>
    <mergeCell ref="H303:I303"/>
    <mergeCell ref="P303:R303"/>
    <mergeCell ref="U303:V303"/>
    <mergeCell ref="X303:Z303"/>
    <mergeCell ref="AC303:AD303"/>
    <mergeCell ref="X298:Z298"/>
    <mergeCell ref="AC298:AD298"/>
    <mergeCell ref="X255:Z255"/>
    <mergeCell ref="AC255:AD255"/>
    <mergeCell ref="P273:R273"/>
    <mergeCell ref="U273:V273"/>
    <mergeCell ref="X273:Z273"/>
    <mergeCell ref="AC273:AD273"/>
    <mergeCell ref="X288:Z288"/>
    <mergeCell ref="AC288:AD288"/>
    <mergeCell ref="P298:R298"/>
    <mergeCell ref="U298:V298"/>
    <mergeCell ref="P288:R288"/>
    <mergeCell ref="U288:V288"/>
    <mergeCell ref="B271:I271"/>
    <mergeCell ref="C273:E273"/>
    <mergeCell ref="H273:I273"/>
    <mergeCell ref="C298:E298"/>
    <mergeCell ref="P244:R244"/>
    <mergeCell ref="U244:V244"/>
    <mergeCell ref="X244:Z244"/>
    <mergeCell ref="AC244:AD244"/>
    <mergeCell ref="P255:R255"/>
    <mergeCell ref="U255:V255"/>
    <mergeCell ref="AC216:AD216"/>
    <mergeCell ref="P235:R235"/>
    <mergeCell ref="U235:V235"/>
    <mergeCell ref="X235:Z235"/>
    <mergeCell ref="AC235:AD235"/>
    <mergeCell ref="P216:R216"/>
    <mergeCell ref="U216:V216"/>
    <mergeCell ref="X216:Z216"/>
    <mergeCell ref="O252:V252"/>
    <mergeCell ref="P190:R190"/>
    <mergeCell ref="X190:Z190"/>
    <mergeCell ref="AC190:AD190"/>
    <mergeCell ref="P204:R204"/>
    <mergeCell ref="U204:V204"/>
    <mergeCell ref="X204:Z204"/>
    <mergeCell ref="AC204:AD204"/>
    <mergeCell ref="P168:R168"/>
    <mergeCell ref="U168:V168"/>
    <mergeCell ref="X168:Z168"/>
    <mergeCell ref="AC168:AD168"/>
    <mergeCell ref="P177:R177"/>
    <mergeCell ref="U177:V177"/>
    <mergeCell ref="X177:Z177"/>
    <mergeCell ref="AC177:AD177"/>
    <mergeCell ref="U141:V141"/>
    <mergeCell ref="X139:Z139"/>
    <mergeCell ref="AC139:AD139"/>
    <mergeCell ref="P146:R146"/>
    <mergeCell ref="U146:V146"/>
    <mergeCell ref="X146:Z146"/>
    <mergeCell ref="AC146:AD146"/>
    <mergeCell ref="P113:R113"/>
    <mergeCell ref="U113:V113"/>
    <mergeCell ref="X113:Z113"/>
    <mergeCell ref="AC113:AD113"/>
    <mergeCell ref="P139:R139"/>
    <mergeCell ref="U139:V139"/>
    <mergeCell ref="P90:R90"/>
    <mergeCell ref="U90:V90"/>
    <mergeCell ref="X90:Z90"/>
    <mergeCell ref="AC90:AD90"/>
    <mergeCell ref="P99:R99"/>
    <mergeCell ref="U99:V99"/>
    <mergeCell ref="X99:Z99"/>
    <mergeCell ref="AC99:AD99"/>
    <mergeCell ref="P62:R62"/>
    <mergeCell ref="U62:V62"/>
    <mergeCell ref="X62:Z62"/>
    <mergeCell ref="AC62:AD62"/>
    <mergeCell ref="P78:R78"/>
    <mergeCell ref="U78:V78"/>
    <mergeCell ref="X78:Z78"/>
    <mergeCell ref="AC78:AD78"/>
    <mergeCell ref="N74:U74"/>
    <mergeCell ref="N89:U89"/>
    <mergeCell ref="H235:I235"/>
    <mergeCell ref="C244:E244"/>
    <mergeCell ref="H244:I244"/>
    <mergeCell ref="B252:I252"/>
    <mergeCell ref="C255:E255"/>
    <mergeCell ref="H255:I255"/>
    <mergeCell ref="H99:I99"/>
    <mergeCell ref="C216:E216"/>
    <mergeCell ref="H216:I216"/>
    <mergeCell ref="C139:E139"/>
    <mergeCell ref="H139:I139"/>
    <mergeCell ref="H141:I141"/>
    <mergeCell ref="C146:E146"/>
    <mergeCell ref="H146:I146"/>
    <mergeCell ref="C168:E168"/>
    <mergeCell ref="H168:I168"/>
    <mergeCell ref="C177:E177"/>
    <mergeCell ref="H177:I177"/>
    <mergeCell ref="C190:E190"/>
    <mergeCell ref="C204:E204"/>
    <mergeCell ref="H204:I204"/>
    <mergeCell ref="P4:R4"/>
    <mergeCell ref="U4:V4"/>
    <mergeCell ref="X4:Z4"/>
    <mergeCell ref="AC4:AD4"/>
    <mergeCell ref="C4:E4"/>
    <mergeCell ref="H4:I4"/>
    <mergeCell ref="P21:R21"/>
    <mergeCell ref="U21:V21"/>
    <mergeCell ref="X21:Z21"/>
    <mergeCell ref="AC21:AD21"/>
    <mergeCell ref="C21:E21"/>
    <mergeCell ref="H21:I21"/>
    <mergeCell ref="O271:V271"/>
    <mergeCell ref="H298:I298"/>
    <mergeCell ref="P46:R46"/>
    <mergeCell ref="U46:V46"/>
    <mergeCell ref="X46:Z46"/>
    <mergeCell ref="AC46:AD46"/>
    <mergeCell ref="C288:E288"/>
    <mergeCell ref="H288:I288"/>
    <mergeCell ref="C46:E46"/>
    <mergeCell ref="H46:I46"/>
    <mergeCell ref="C113:E113"/>
    <mergeCell ref="H113:I113"/>
    <mergeCell ref="C62:E62"/>
    <mergeCell ref="H62:I62"/>
    <mergeCell ref="B73:I73"/>
    <mergeCell ref="B74:I74"/>
    <mergeCell ref="C78:E78"/>
    <mergeCell ref="H78:I78"/>
    <mergeCell ref="B89:I89"/>
    <mergeCell ref="C90:E90"/>
    <mergeCell ref="H90:I90"/>
    <mergeCell ref="C99:E99"/>
    <mergeCell ref="N73:U73"/>
    <mergeCell ref="C235:E235"/>
  </mergeCells>
  <pageMargins left="0.70866141732283505" right="0.70866141732283505" top="0.74803149606299202" bottom="0.74803149606299202" header="0.31496062992126" footer="0.31496062992126"/>
  <pageSetup paperSize="9" scale="63" fitToHeight="0" orientation="portrait" r:id="rId1"/>
  <headerFooter>
    <oddHeader>&amp;L&amp;D&amp;C&amp;A&amp;R&amp;F</oddHeader>
    <oddFooter>&amp;L&amp;P</oddFooter>
  </headerFooter>
  <rowBreaks count="7" manualBreakCount="7">
    <brk id="45" min="9" max="21" man="1"/>
    <brk id="89" min="9" max="21" man="1"/>
    <brk id="138" min="9" max="21" man="1"/>
    <brk id="175" min="9" max="21" man="1"/>
    <brk id="234" min="9" max="21" man="1"/>
    <brk id="296" min="9" max="21" man="1"/>
    <brk id="311" min="9" max="21"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V293"/>
  <sheetViews>
    <sheetView rightToLeft="1" topLeftCell="K1" zoomScaleNormal="100" zoomScaleSheetLayoutView="100" workbookViewId="0">
      <pane ySplit="1" topLeftCell="A20" activePane="bottomLeft" state="frozen"/>
      <selection activeCell="A101" sqref="A101"/>
      <selection pane="bottomLeft" activeCell="M35" sqref="M35"/>
    </sheetView>
  </sheetViews>
  <sheetFormatPr defaultRowHeight="12.75" x14ac:dyDescent="0.2"/>
  <cols>
    <col min="1" max="1" width="3.125" style="201" hidden="1" customWidth="1"/>
    <col min="2" max="2" width="28.125" style="289" hidden="1" customWidth="1"/>
    <col min="3" max="3" width="15.125" style="1731" hidden="1" customWidth="1"/>
    <col min="4" max="4" width="13.875" style="1731" hidden="1" customWidth="1"/>
    <col min="5" max="5" width="13.625" style="1731" hidden="1" customWidth="1"/>
    <col min="6" max="6" width="17.125" style="1731" hidden="1" customWidth="1"/>
    <col min="7" max="7" width="2.25" style="1731" hidden="1" customWidth="1"/>
    <col min="8" max="8" width="10.375" style="1731" hidden="1" customWidth="1"/>
    <col min="9" max="9" width="11.875" style="1731" hidden="1" customWidth="1"/>
    <col min="10" max="10" width="3.875" style="1731" hidden="1" customWidth="1"/>
    <col min="11" max="11" width="2.875" style="1731" customWidth="1"/>
    <col min="12" max="12" width="24.5" style="1731" customWidth="1"/>
    <col min="13" max="13" width="6.75" style="1731" customWidth="1"/>
    <col min="14" max="14" width="12.625" style="1731" customWidth="1"/>
    <col min="15" max="15" width="15.125" style="1731" customWidth="1"/>
    <col min="16" max="16" width="12.625" style="1731" bestFit="1" customWidth="1"/>
    <col min="17" max="17" width="1.75" style="1731" customWidth="1"/>
    <col min="18" max="18" width="9.125" style="1731" customWidth="1"/>
    <col min="19" max="19" width="14.125" style="1731" customWidth="1"/>
    <col min="20" max="20" width="4.875" style="1731" hidden="1" customWidth="1"/>
    <col min="21" max="21" width="8.25" style="1731" hidden="1" customWidth="1"/>
    <col min="22" max="22" width="9.125" style="1731" hidden="1" customWidth="1"/>
    <col min="23" max="23" width="10.75" style="1731" hidden="1" customWidth="1"/>
    <col min="24" max="24" width="9.125" style="1731" hidden="1" customWidth="1"/>
    <col min="25" max="25" width="2.375" style="1731" hidden="1" customWidth="1"/>
    <col min="26" max="26" width="9.125" style="1731" hidden="1" customWidth="1"/>
    <col min="27" max="27" width="11.25" style="1731" hidden="1" customWidth="1"/>
    <col min="28" max="31" width="9.125" style="1731" customWidth="1"/>
    <col min="32" max="32" width="10.375" style="1731" customWidth="1"/>
    <col min="33" max="33" width="6.75" style="1731" customWidth="1"/>
    <col min="34" max="34" width="5.625" style="1731" customWidth="1"/>
    <col min="35" max="35" width="8.875" style="1731" customWidth="1"/>
    <col min="36" max="36" width="6.875" style="1731" customWidth="1"/>
    <col min="37" max="37" width="5.875" style="1731" customWidth="1"/>
    <col min="38" max="38" width="7.75" style="1731" customWidth="1"/>
    <col min="39" max="42" width="8.875" style="1731" customWidth="1"/>
    <col min="43" max="43" width="9.375" style="1731" customWidth="1"/>
    <col min="44" max="44" width="11.25" style="1731" customWidth="1"/>
    <col min="45" max="45" width="9.125" style="1731" customWidth="1"/>
    <col min="46" max="46" width="9.375" style="1731" customWidth="1"/>
    <col min="47" max="47" width="9" style="1731"/>
    <col min="48" max="48" width="10.375" style="1731" bestFit="1" customWidth="1"/>
    <col min="49" max="16384" width="9" style="1731"/>
  </cols>
  <sheetData>
    <row r="1" spans="1:48" ht="13.5" thickBot="1" x14ac:dyDescent="0.25">
      <c r="A1" s="1943"/>
      <c r="B1" s="1944" t="s">
        <v>83</v>
      </c>
      <c r="C1" s="1944" t="s">
        <v>84</v>
      </c>
      <c r="D1" s="1945"/>
      <c r="E1" s="1946" t="s">
        <v>75</v>
      </c>
      <c r="F1" s="1946" t="s">
        <v>76</v>
      </c>
      <c r="G1" s="1945"/>
      <c r="H1" s="1945" t="s">
        <v>85</v>
      </c>
      <c r="I1" s="1731">
        <v>4.2</v>
      </c>
      <c r="J1" s="1731">
        <v>3.8</v>
      </c>
      <c r="K1" s="1731">
        <v>4.2</v>
      </c>
      <c r="AF1" s="1947"/>
      <c r="AG1" s="1947"/>
      <c r="AH1" s="1947"/>
      <c r="AI1" s="1947"/>
      <c r="AJ1" s="1947"/>
      <c r="AK1" s="1947"/>
      <c r="AL1" s="1947"/>
      <c r="AM1" s="1947"/>
      <c r="AN1" s="1947"/>
      <c r="AO1" s="1947"/>
      <c r="AP1" s="1947"/>
      <c r="AQ1" s="1947"/>
      <c r="AR1" s="1947"/>
      <c r="AS1" s="1947"/>
      <c r="AT1" s="1947"/>
      <c r="AU1" s="1947"/>
      <c r="AV1" s="1947"/>
    </row>
    <row r="2" spans="1:48" ht="15" customHeight="1" x14ac:dyDescent="0.2">
      <c r="A2" s="182">
        <v>1</v>
      </c>
      <c r="B2" s="1948" t="s">
        <v>86</v>
      </c>
      <c r="C2" s="3216" t="s">
        <v>87</v>
      </c>
      <c r="D2" s="3216"/>
      <c r="E2" s="3216"/>
      <c r="F2" s="1937"/>
      <c r="G2" s="1949"/>
      <c r="H2" s="3217" t="s">
        <v>88</v>
      </c>
      <c r="I2" s="3218"/>
      <c r="J2" s="1731">
        <v>4.8</v>
      </c>
      <c r="K2" s="182">
        <v>1</v>
      </c>
      <c r="L2" s="1948" t="s">
        <v>534</v>
      </c>
      <c r="M2" s="3226" t="s">
        <v>812</v>
      </c>
      <c r="N2" s="3227"/>
      <c r="O2" s="3228"/>
      <c r="P2" s="1937"/>
      <c r="Q2" s="1939"/>
      <c r="R2" s="3217" t="s">
        <v>88</v>
      </c>
      <c r="S2" s="3218"/>
      <c r="U2" s="3216" t="s">
        <v>506</v>
      </c>
      <c r="V2" s="3216"/>
      <c r="W2" s="3216"/>
      <c r="X2" s="1937"/>
      <c r="Y2" s="1939"/>
      <c r="Z2" s="3217" t="s">
        <v>88</v>
      </c>
      <c r="AA2" s="3218"/>
    </row>
    <row r="3" spans="1:48" ht="38.25" x14ac:dyDescent="0.2">
      <c r="A3" s="185"/>
      <c r="B3" s="590" t="s">
        <v>89</v>
      </c>
      <c r="C3" s="590" t="s">
        <v>90</v>
      </c>
      <c r="D3" s="590" t="s">
        <v>91</v>
      </c>
      <c r="E3" s="590" t="s">
        <v>92</v>
      </c>
      <c r="F3" s="590"/>
      <c r="G3" s="1723"/>
      <c r="H3" s="1831" t="s">
        <v>54</v>
      </c>
      <c r="I3" s="1909" t="s">
        <v>92</v>
      </c>
      <c r="J3" s="1731">
        <v>4.8</v>
      </c>
      <c r="K3" s="185"/>
      <c r="L3" s="590" t="s">
        <v>89</v>
      </c>
      <c r="M3" s="590" t="s">
        <v>90</v>
      </c>
      <c r="N3" s="590" t="s">
        <v>91</v>
      </c>
      <c r="O3" s="1830" t="s">
        <v>502</v>
      </c>
      <c r="P3" s="1950"/>
      <c r="Q3" s="1766"/>
      <c r="R3" s="1831" t="s">
        <v>54</v>
      </c>
      <c r="S3" s="1832" t="s">
        <v>502</v>
      </c>
      <c r="U3" s="590" t="s">
        <v>90</v>
      </c>
      <c r="V3" s="590" t="s">
        <v>91</v>
      </c>
      <c r="W3" s="1830" t="s">
        <v>507</v>
      </c>
      <c r="X3" s="590"/>
      <c r="Y3" s="1766"/>
      <c r="Z3" s="1831" t="s">
        <v>54</v>
      </c>
      <c r="AA3" s="1832" t="s">
        <v>507</v>
      </c>
    </row>
    <row r="4" spans="1:48" ht="25.5" x14ac:dyDescent="0.2">
      <c r="A4" s="185"/>
      <c r="B4" s="1951" t="s">
        <v>93</v>
      </c>
      <c r="C4" s="1899">
        <v>2</v>
      </c>
      <c r="D4" s="1899">
        <f>E22/C4</f>
        <v>228000</v>
      </c>
      <c r="E4" s="1899"/>
      <c r="F4" s="1899"/>
      <c r="G4" s="1723"/>
      <c r="H4" s="1818"/>
      <c r="I4" s="1952"/>
      <c r="J4" s="1731">
        <v>4.5</v>
      </c>
      <c r="K4" s="185"/>
      <c r="L4" s="1953" t="s">
        <v>535</v>
      </c>
      <c r="M4" s="1954">
        <v>3</v>
      </c>
      <c r="N4" s="1955">
        <f>SUM(O8:O12)/M4</f>
        <v>209501.6</v>
      </c>
      <c r="O4" s="1899"/>
      <c r="Q4" s="1766"/>
      <c r="R4" s="1942"/>
      <c r="S4" s="1956"/>
      <c r="U4" s="1743">
        <f>M4-C4-M29</f>
        <v>-1</v>
      </c>
      <c r="V4" s="1743"/>
      <c r="W4" s="1743">
        <f t="shared" ref="W4:W10" si="0">O4-E4</f>
        <v>0</v>
      </c>
      <c r="X4" s="1743">
        <f>N4-F4</f>
        <v>209501.6</v>
      </c>
      <c r="Y4" s="1728">
        <f t="shared" ref="Y4:AA10" si="1">Q4-G4</f>
        <v>0</v>
      </c>
      <c r="Z4" s="1769">
        <f t="shared" si="1"/>
        <v>0</v>
      </c>
      <c r="AA4" s="1770">
        <f t="shared" si="1"/>
        <v>0</v>
      </c>
    </row>
    <row r="5" spans="1:48" x14ac:dyDescent="0.2">
      <c r="A5" s="185"/>
      <c r="B5" s="1951" t="s">
        <v>94</v>
      </c>
      <c r="C5" s="1899">
        <v>12</v>
      </c>
      <c r="D5" s="1899"/>
      <c r="E5" s="1899"/>
      <c r="F5" s="1899"/>
      <c r="G5" s="1723"/>
      <c r="H5" s="1818"/>
      <c r="I5" s="1952"/>
      <c r="K5" s="185"/>
      <c r="L5" s="1951" t="s">
        <v>536</v>
      </c>
      <c r="M5" s="1899">
        <v>12</v>
      </c>
      <c r="N5" s="1899"/>
      <c r="O5" s="1899"/>
      <c r="P5" s="1899"/>
      <c r="Q5" s="1766"/>
      <c r="R5" s="1942"/>
      <c r="S5" s="1956"/>
      <c r="U5" s="1743">
        <f t="shared" ref="U5:V10" si="2">M5-C5</f>
        <v>0</v>
      </c>
      <c r="V5" s="1743">
        <f t="shared" si="2"/>
        <v>0</v>
      </c>
      <c r="W5" s="1743">
        <f t="shared" si="0"/>
        <v>0</v>
      </c>
      <c r="X5" s="1743">
        <f t="shared" ref="X5:X10" si="3">P5-F5</f>
        <v>0</v>
      </c>
      <c r="Y5" s="1728">
        <f t="shared" si="1"/>
        <v>0</v>
      </c>
      <c r="Z5" s="1769">
        <f t="shared" si="1"/>
        <v>0</v>
      </c>
      <c r="AA5" s="1770">
        <f t="shared" si="1"/>
        <v>0</v>
      </c>
    </row>
    <row r="6" spans="1:48" x14ac:dyDescent="0.2">
      <c r="A6" s="185"/>
      <c r="B6" s="1951"/>
      <c r="C6" s="1899"/>
      <c r="D6" s="1899"/>
      <c r="E6" s="1899"/>
      <c r="F6" s="1899"/>
      <c r="G6" s="1723"/>
      <c r="H6" s="1818"/>
      <c r="I6" s="1952"/>
      <c r="K6" s="185"/>
      <c r="L6" s="2979" t="s">
        <v>880</v>
      </c>
      <c r="M6" s="2980">
        <v>4</v>
      </c>
      <c r="N6" s="1899"/>
      <c r="O6" s="1899"/>
      <c r="P6" s="1899"/>
      <c r="Q6" s="1766"/>
      <c r="R6" s="1942"/>
      <c r="S6" s="1956"/>
      <c r="U6" s="1743">
        <f t="shared" si="2"/>
        <v>4</v>
      </c>
      <c r="V6" s="1743">
        <f t="shared" si="2"/>
        <v>0</v>
      </c>
      <c r="W6" s="1743">
        <f t="shared" si="0"/>
        <v>0</v>
      </c>
      <c r="X6" s="1743">
        <f t="shared" si="3"/>
        <v>0</v>
      </c>
      <c r="Y6" s="1728">
        <f t="shared" si="1"/>
        <v>0</v>
      </c>
      <c r="Z6" s="1769">
        <f t="shared" si="1"/>
        <v>0</v>
      </c>
      <c r="AA6" s="1770">
        <f t="shared" si="1"/>
        <v>0</v>
      </c>
    </row>
    <row r="7" spans="1:48" x14ac:dyDescent="0.2">
      <c r="A7" s="185"/>
      <c r="B7" s="1951" t="s">
        <v>95</v>
      </c>
      <c r="C7" s="1899">
        <v>2500</v>
      </c>
      <c r="D7" s="1899"/>
      <c r="E7" s="1899"/>
      <c r="F7" s="1899"/>
      <c r="G7" s="1723"/>
      <c r="H7" s="1818"/>
      <c r="I7" s="1952"/>
      <c r="K7" s="185"/>
      <c r="L7" s="1951" t="s">
        <v>537</v>
      </c>
      <c r="M7" s="1899">
        <v>1250</v>
      </c>
      <c r="N7" s="1899"/>
      <c r="O7" s="1899"/>
      <c r="P7" s="1899"/>
      <c r="Q7" s="1766"/>
      <c r="R7" s="1942"/>
      <c r="S7" s="1956"/>
      <c r="U7" s="1727">
        <f t="shared" si="2"/>
        <v>-1250</v>
      </c>
      <c r="V7" s="1727">
        <f t="shared" si="2"/>
        <v>0</v>
      </c>
      <c r="W7" s="1727">
        <f t="shared" si="0"/>
        <v>0</v>
      </c>
      <c r="X7" s="1743">
        <f t="shared" si="3"/>
        <v>0</v>
      </c>
      <c r="Y7" s="1728">
        <f t="shared" si="1"/>
        <v>0</v>
      </c>
      <c r="Z7" s="1769">
        <f t="shared" si="1"/>
        <v>0</v>
      </c>
      <c r="AA7" s="1770">
        <f t="shared" si="1"/>
        <v>0</v>
      </c>
      <c r="AF7" s="1930"/>
      <c r="AG7" s="1930"/>
      <c r="AH7" s="1930"/>
    </row>
    <row r="8" spans="1:48" ht="25.5" x14ac:dyDescent="0.2">
      <c r="A8" s="185"/>
      <c r="B8" s="1957" t="s">
        <v>803</v>
      </c>
      <c r="C8" s="1877">
        <f>C5*C4</f>
        <v>24</v>
      </c>
      <c r="D8" s="1721">
        <f>800*J3</f>
        <v>3840</v>
      </c>
      <c r="E8" s="1877">
        <f>D8*C8</f>
        <v>92160</v>
      </c>
      <c r="F8" s="1877"/>
      <c r="G8" s="1723"/>
      <c r="H8" s="1818"/>
      <c r="I8" s="1952"/>
      <c r="J8" s="2864">
        <f>N4-D4</f>
        <v>-18498.399999999994</v>
      </c>
      <c r="K8" s="185"/>
      <c r="L8" s="1957" t="s">
        <v>824</v>
      </c>
      <c r="M8" s="1959">
        <f>M5*M4</f>
        <v>36</v>
      </c>
      <c r="N8" s="1926">
        <f>800*$J$1</f>
        <v>3040</v>
      </c>
      <c r="O8" s="1926">
        <f t="shared" ref="O8:O12" si="4">+N8*M8</f>
        <v>109440</v>
      </c>
      <c r="P8" s="1959"/>
      <c r="Q8" s="1766"/>
      <c r="R8" s="1960"/>
      <c r="S8" s="1956"/>
      <c r="U8" s="1961">
        <f t="shared" si="2"/>
        <v>12</v>
      </c>
      <c r="V8" s="1961">
        <f t="shared" si="2"/>
        <v>-800</v>
      </c>
      <c r="W8" s="1961">
        <f t="shared" si="0"/>
        <v>17280</v>
      </c>
      <c r="X8" s="1961">
        <f t="shared" si="3"/>
        <v>0</v>
      </c>
      <c r="Y8" s="1728">
        <f t="shared" si="1"/>
        <v>0</v>
      </c>
      <c r="Z8" s="1769">
        <f t="shared" si="1"/>
        <v>0</v>
      </c>
      <c r="AA8" s="1770">
        <f t="shared" si="1"/>
        <v>0</v>
      </c>
      <c r="AF8" s="1930"/>
      <c r="AG8" s="1930"/>
      <c r="AH8" s="1930"/>
    </row>
    <row r="9" spans="1:48" ht="38.25" x14ac:dyDescent="0.2">
      <c r="A9" s="185"/>
      <c r="B9" s="1957" t="s">
        <v>804</v>
      </c>
      <c r="C9" s="1877">
        <f>C8*6</f>
        <v>144</v>
      </c>
      <c r="D9" s="1721">
        <f>(90+120/6*5+60)*J3</f>
        <v>1200</v>
      </c>
      <c r="E9" s="1877">
        <f>D9*C9</f>
        <v>172800</v>
      </c>
      <c r="F9" s="1877"/>
      <c r="G9" s="1723"/>
      <c r="H9" s="1818"/>
      <c r="I9" s="1952"/>
      <c r="J9" s="1958"/>
      <c r="K9" s="185"/>
      <c r="L9" s="1962" t="s">
        <v>541</v>
      </c>
      <c r="M9" s="1959">
        <f>M8*5</f>
        <v>180</v>
      </c>
      <c r="N9" s="1926">
        <f>(90+140+20)*$J$1</f>
        <v>950</v>
      </c>
      <c r="O9" s="1926">
        <f t="shared" si="4"/>
        <v>171000</v>
      </c>
      <c r="P9" s="1959"/>
      <c r="Q9" s="1766"/>
      <c r="R9" s="1960"/>
      <c r="S9" s="1956"/>
      <c r="U9" s="1961">
        <f t="shared" si="2"/>
        <v>36</v>
      </c>
      <c r="V9" s="1961">
        <f t="shared" si="2"/>
        <v>-250</v>
      </c>
      <c r="W9" s="1961">
        <f t="shared" si="0"/>
        <v>-1800</v>
      </c>
      <c r="X9" s="1961">
        <f t="shared" si="3"/>
        <v>0</v>
      </c>
      <c r="Y9" s="1728">
        <f t="shared" si="1"/>
        <v>0</v>
      </c>
      <c r="Z9" s="1769">
        <f t="shared" si="1"/>
        <v>0</v>
      </c>
      <c r="AA9" s="1770">
        <f t="shared" si="1"/>
        <v>0</v>
      </c>
      <c r="AI9" s="1930"/>
    </row>
    <row r="10" spans="1:48" x14ac:dyDescent="0.2">
      <c r="A10" s="185"/>
      <c r="B10" s="1957" t="s">
        <v>96</v>
      </c>
      <c r="C10" s="1721">
        <f>C4</f>
        <v>2</v>
      </c>
      <c r="D10" s="1721">
        <f>17500*J3</f>
        <v>84000</v>
      </c>
      <c r="E10" s="1721">
        <f>D10*C10</f>
        <v>168000</v>
      </c>
      <c r="F10" s="1877"/>
      <c r="G10" s="1723"/>
      <c r="H10" s="1818"/>
      <c r="I10" s="1952"/>
      <c r="J10" s="1958"/>
      <c r="K10" s="185"/>
      <c r="L10" s="1963" t="s">
        <v>538</v>
      </c>
      <c r="M10" s="1959">
        <f>+M4</f>
        <v>3</v>
      </c>
      <c r="N10" s="1926">
        <f>19000*$J$1</f>
        <v>72200</v>
      </c>
      <c r="O10" s="1926">
        <f t="shared" si="4"/>
        <v>216600</v>
      </c>
      <c r="P10" s="1959"/>
      <c r="Q10" s="1766"/>
      <c r="R10" s="1960"/>
      <c r="S10" s="1956"/>
      <c r="U10" s="1961">
        <f t="shared" si="2"/>
        <v>1</v>
      </c>
      <c r="V10" s="1961">
        <f t="shared" si="2"/>
        <v>-11800</v>
      </c>
      <c r="W10" s="1961">
        <f t="shared" si="0"/>
        <v>48600</v>
      </c>
      <c r="X10" s="1961">
        <f t="shared" si="3"/>
        <v>0</v>
      </c>
      <c r="Y10" s="1728">
        <f t="shared" si="1"/>
        <v>0</v>
      </c>
      <c r="Z10" s="1769">
        <f t="shared" si="1"/>
        <v>0</v>
      </c>
      <c r="AA10" s="1770">
        <f t="shared" si="1"/>
        <v>0</v>
      </c>
      <c r="AL10" s="1930"/>
    </row>
    <row r="11" spans="1:48" ht="25.5" x14ac:dyDescent="0.2">
      <c r="A11" s="185"/>
      <c r="B11" s="1957"/>
      <c r="C11" s="1721"/>
      <c r="D11" s="1721"/>
      <c r="E11" s="1721"/>
      <c r="F11" s="1877"/>
      <c r="G11" s="1723"/>
      <c r="H11" s="1818"/>
      <c r="I11" s="1952"/>
      <c r="J11" s="1958"/>
      <c r="K11" s="185"/>
      <c r="L11" s="1763" t="s">
        <v>504</v>
      </c>
      <c r="M11" s="1959">
        <f>M4</f>
        <v>3</v>
      </c>
      <c r="N11" s="1926">
        <v>32300</v>
      </c>
      <c r="O11" s="1926">
        <f t="shared" si="4"/>
        <v>96900</v>
      </c>
      <c r="P11" s="1959"/>
      <c r="Q11" s="1766"/>
      <c r="R11" s="1960"/>
      <c r="S11" s="1956"/>
      <c r="U11" s="1961"/>
      <c r="V11" s="1961"/>
      <c r="W11" s="1961"/>
      <c r="X11" s="1961"/>
      <c r="Y11" s="1728"/>
      <c r="Z11" s="1769"/>
      <c r="AA11" s="1770"/>
      <c r="AL11" s="1930"/>
    </row>
    <row r="12" spans="1:48" x14ac:dyDescent="0.2">
      <c r="A12" s="185"/>
      <c r="B12" s="1957" t="s">
        <v>97</v>
      </c>
      <c r="C12" s="1721">
        <f>4*C4</f>
        <v>8</v>
      </c>
      <c r="D12" s="1721">
        <f>600*J3</f>
        <v>2880</v>
      </c>
      <c r="E12" s="1721">
        <f>D12*C12</f>
        <v>23040</v>
      </c>
      <c r="F12" s="1877"/>
      <c r="G12" s="1964"/>
      <c r="H12" s="1965"/>
      <c r="I12" s="1966"/>
      <c r="J12" s="1958"/>
      <c r="K12" s="185"/>
      <c r="L12" s="1963" t="s">
        <v>890</v>
      </c>
      <c r="M12" s="1926">
        <f>M4*M6</f>
        <v>12</v>
      </c>
      <c r="N12" s="1926">
        <f>189.5*$J$1*4</f>
        <v>2880.4</v>
      </c>
      <c r="O12" s="1926">
        <f t="shared" si="4"/>
        <v>34564.800000000003</v>
      </c>
      <c r="P12" s="1959"/>
      <c r="Q12" s="1964"/>
      <c r="R12" s="1960"/>
      <c r="S12" s="1967"/>
      <c r="U12" s="1961">
        <f t="shared" ref="U12:AA19" si="5">M12-C12</f>
        <v>4</v>
      </c>
      <c r="V12" s="2941">
        <f t="shared" si="5"/>
        <v>0.40000000000009095</v>
      </c>
      <c r="W12" s="1961">
        <f t="shared" si="5"/>
        <v>11524.800000000003</v>
      </c>
      <c r="X12" s="1961">
        <f t="shared" si="5"/>
        <v>0</v>
      </c>
      <c r="Y12" s="1968">
        <f t="shared" si="5"/>
        <v>0</v>
      </c>
      <c r="Z12" s="1969">
        <f t="shared" si="5"/>
        <v>0</v>
      </c>
      <c r="AA12" s="1970">
        <f t="shared" si="5"/>
        <v>0</v>
      </c>
    </row>
    <row r="13" spans="1:48" x14ac:dyDescent="0.2">
      <c r="A13" s="185"/>
      <c r="B13" s="1957"/>
      <c r="C13" s="1721"/>
      <c r="D13" s="1721"/>
      <c r="E13" s="1721"/>
      <c r="F13" s="1877"/>
      <c r="G13" s="1964"/>
      <c r="H13" s="1965"/>
      <c r="I13" s="1966"/>
      <c r="J13" s="1958"/>
      <c r="K13" s="185"/>
      <c r="L13" s="1951" t="s">
        <v>539</v>
      </c>
      <c r="M13" s="1899">
        <v>3</v>
      </c>
      <c r="N13" s="1955">
        <f>SUM(O17:O21)/M13</f>
        <v>141671.6</v>
      </c>
      <c r="O13" s="1899"/>
      <c r="P13" s="1959"/>
      <c r="Q13" s="1964"/>
      <c r="R13" s="1960"/>
      <c r="S13" s="1967"/>
      <c r="U13" s="1743">
        <f t="shared" si="5"/>
        <v>3</v>
      </c>
      <c r="V13" s="1743">
        <f t="shared" si="5"/>
        <v>141671.6</v>
      </c>
      <c r="W13" s="1743">
        <f t="shared" si="5"/>
        <v>0</v>
      </c>
      <c r="X13" s="1961">
        <f t="shared" si="5"/>
        <v>0</v>
      </c>
      <c r="Y13" s="1968">
        <f t="shared" si="5"/>
        <v>0</v>
      </c>
      <c r="Z13" s="1969">
        <f t="shared" si="5"/>
        <v>0</v>
      </c>
      <c r="AA13" s="1970">
        <f t="shared" si="5"/>
        <v>0</v>
      </c>
    </row>
    <row r="14" spans="1:48" x14ac:dyDescent="0.2">
      <c r="A14" s="185"/>
      <c r="B14" s="1957"/>
      <c r="C14" s="1721"/>
      <c r="D14" s="1721"/>
      <c r="E14" s="1721"/>
      <c r="F14" s="1877"/>
      <c r="G14" s="1964"/>
      <c r="H14" s="1965"/>
      <c r="I14" s="1966"/>
      <c r="J14" s="1958"/>
      <c r="K14" s="185"/>
      <c r="L14" s="1951" t="s">
        <v>94</v>
      </c>
      <c r="M14" s="1899">
        <v>7</v>
      </c>
      <c r="N14" s="1899"/>
      <c r="O14" s="1899"/>
      <c r="P14" s="1959"/>
      <c r="Q14" s="1964"/>
      <c r="R14" s="1960"/>
      <c r="S14" s="1967"/>
      <c r="U14" s="1743">
        <f t="shared" si="5"/>
        <v>7</v>
      </c>
      <c r="V14" s="1743">
        <f t="shared" si="5"/>
        <v>0</v>
      </c>
      <c r="W14" s="1743">
        <f t="shared" si="5"/>
        <v>0</v>
      </c>
      <c r="X14" s="1961">
        <f t="shared" si="5"/>
        <v>0</v>
      </c>
      <c r="Y14" s="1968">
        <f t="shared" si="5"/>
        <v>0</v>
      </c>
      <c r="Z14" s="1969">
        <f t="shared" si="5"/>
        <v>0</v>
      </c>
      <c r="AA14" s="1970">
        <f t="shared" si="5"/>
        <v>0</v>
      </c>
    </row>
    <row r="15" spans="1:48" x14ac:dyDescent="0.2">
      <c r="A15" s="185"/>
      <c r="B15" s="1957"/>
      <c r="C15" s="1721"/>
      <c r="D15" s="1721"/>
      <c r="E15" s="1721"/>
      <c r="F15" s="1877"/>
      <c r="G15" s="1964"/>
      <c r="H15" s="1965"/>
      <c r="I15" s="1966"/>
      <c r="J15" s="1958"/>
      <c r="K15" s="185"/>
      <c r="L15" s="2979" t="s">
        <v>880</v>
      </c>
      <c r="M15" s="2980">
        <v>4</v>
      </c>
      <c r="N15" s="1899"/>
      <c r="O15" s="1899"/>
      <c r="P15" s="1959"/>
      <c r="Q15" s="1964"/>
      <c r="R15" s="1960"/>
      <c r="S15" s="1967"/>
      <c r="U15" s="1743">
        <f t="shared" si="5"/>
        <v>4</v>
      </c>
      <c r="V15" s="1743">
        <f t="shared" si="5"/>
        <v>0</v>
      </c>
      <c r="W15" s="1743">
        <f t="shared" si="5"/>
        <v>0</v>
      </c>
      <c r="X15" s="1961">
        <f t="shared" si="5"/>
        <v>0</v>
      </c>
      <c r="Y15" s="1968">
        <f t="shared" si="5"/>
        <v>0</v>
      </c>
      <c r="Z15" s="1969">
        <f t="shared" si="5"/>
        <v>0</v>
      </c>
      <c r="AA15" s="1970">
        <f t="shared" si="5"/>
        <v>0</v>
      </c>
    </row>
    <row r="16" spans="1:48" s="1971" customFormat="1" x14ac:dyDescent="0.2">
      <c r="A16" s="185"/>
      <c r="B16" s="1957"/>
      <c r="C16" s="1721"/>
      <c r="D16" s="1721"/>
      <c r="E16" s="1721"/>
      <c r="F16" s="1877"/>
      <c r="G16" s="1964"/>
      <c r="H16" s="1965"/>
      <c r="I16" s="1966"/>
      <c r="J16" s="1958"/>
      <c r="K16" s="185"/>
      <c r="L16" s="1951" t="s">
        <v>537</v>
      </c>
      <c r="M16" s="1899">
        <v>750</v>
      </c>
      <c r="N16" s="1899"/>
      <c r="O16" s="1899"/>
      <c r="P16" s="1959"/>
      <c r="Q16" s="1964"/>
      <c r="R16" s="1960"/>
      <c r="S16" s="1967"/>
      <c r="U16" s="1743">
        <f t="shared" si="5"/>
        <v>750</v>
      </c>
      <c r="V16" s="1743">
        <f t="shared" si="5"/>
        <v>0</v>
      </c>
      <c r="W16" s="1743">
        <f t="shared" si="5"/>
        <v>0</v>
      </c>
      <c r="X16" s="1961">
        <f t="shared" si="5"/>
        <v>0</v>
      </c>
      <c r="Y16" s="1968">
        <f t="shared" si="5"/>
        <v>0</v>
      </c>
      <c r="Z16" s="1969">
        <f t="shared" si="5"/>
        <v>0</v>
      </c>
      <c r="AA16" s="1970">
        <f t="shared" si="5"/>
        <v>0</v>
      </c>
    </row>
    <row r="17" spans="1:38" s="1971" customFormat="1" ht="25.5" x14ac:dyDescent="0.2">
      <c r="A17" s="185"/>
      <c r="B17" s="1957"/>
      <c r="C17" s="1721"/>
      <c r="D17" s="1721"/>
      <c r="E17" s="1721"/>
      <c r="F17" s="1877"/>
      <c r="G17" s="1964"/>
      <c r="H17" s="1965"/>
      <c r="I17" s="1966"/>
      <c r="J17" s="1958"/>
      <c r="K17" s="185"/>
      <c r="L17" s="1957" t="s">
        <v>540</v>
      </c>
      <c r="M17" s="1959">
        <f>M14*M13</f>
        <v>21</v>
      </c>
      <c r="N17" s="1926">
        <f>1000*$J$1</f>
        <v>3800</v>
      </c>
      <c r="O17" s="1959">
        <f>N17*M17</f>
        <v>79800</v>
      </c>
      <c r="P17" s="1959"/>
      <c r="Q17" s="1964"/>
      <c r="R17" s="1960"/>
      <c r="S17" s="1967"/>
      <c r="U17" s="1961">
        <f t="shared" si="5"/>
        <v>21</v>
      </c>
      <c r="V17" s="1961">
        <f t="shared" si="5"/>
        <v>3800</v>
      </c>
      <c r="W17" s="1961">
        <f t="shared" si="5"/>
        <v>79800</v>
      </c>
      <c r="X17" s="1961">
        <f t="shared" si="5"/>
        <v>0</v>
      </c>
      <c r="Y17" s="1968">
        <f t="shared" si="5"/>
        <v>0</v>
      </c>
      <c r="Z17" s="1969">
        <f t="shared" si="5"/>
        <v>0</v>
      </c>
      <c r="AA17" s="1970">
        <f t="shared" si="5"/>
        <v>0</v>
      </c>
    </row>
    <row r="18" spans="1:38" s="1726" customFormat="1" ht="25.5" x14ac:dyDescent="0.2">
      <c r="A18" s="185"/>
      <c r="B18" s="1957"/>
      <c r="C18" s="1721"/>
      <c r="D18" s="1721"/>
      <c r="E18" s="1721"/>
      <c r="F18" s="1877"/>
      <c r="G18" s="1964"/>
      <c r="H18" s="1965"/>
      <c r="I18" s="1966"/>
      <c r="J18" s="1958"/>
      <c r="K18" s="185"/>
      <c r="L18" s="1962" t="s">
        <v>879</v>
      </c>
      <c r="M18" s="1959">
        <v>105</v>
      </c>
      <c r="N18" s="1926">
        <f>(90+140+20)*$J$1</f>
        <v>950</v>
      </c>
      <c r="O18" s="1959">
        <f>N18*M18</f>
        <v>99750</v>
      </c>
      <c r="P18" s="1959"/>
      <c r="Q18" s="1964"/>
      <c r="R18" s="1960"/>
      <c r="S18" s="1967"/>
      <c r="T18" s="1972"/>
      <c r="U18" s="1961">
        <f t="shared" si="5"/>
        <v>105</v>
      </c>
      <c r="V18" s="1961">
        <f t="shared" si="5"/>
        <v>950</v>
      </c>
      <c r="W18" s="1961">
        <f t="shared" si="5"/>
        <v>99750</v>
      </c>
      <c r="X18" s="1961">
        <f t="shared" si="5"/>
        <v>0</v>
      </c>
      <c r="Y18" s="1968">
        <f t="shared" si="5"/>
        <v>0</v>
      </c>
      <c r="Z18" s="1969">
        <f t="shared" si="5"/>
        <v>0</v>
      </c>
      <c r="AA18" s="1970">
        <f t="shared" si="5"/>
        <v>0</v>
      </c>
      <c r="AB18" s="1972"/>
      <c r="AC18" s="1972"/>
      <c r="AD18" s="1972"/>
      <c r="AE18" s="1972"/>
      <c r="AF18" s="1972"/>
      <c r="AG18" s="1972"/>
      <c r="AH18" s="1972"/>
      <c r="AI18" s="1972"/>
    </row>
    <row r="19" spans="1:38" s="1726" customFormat="1" x14ac:dyDescent="0.2">
      <c r="A19" s="185"/>
      <c r="B19" s="1957"/>
      <c r="C19" s="1721"/>
      <c r="D19" s="1721"/>
      <c r="E19" s="1721"/>
      <c r="F19" s="1877"/>
      <c r="G19" s="1964"/>
      <c r="H19" s="1965"/>
      <c r="I19" s="1966"/>
      <c r="J19" s="1958"/>
      <c r="K19" s="185"/>
      <c r="L19" s="1957" t="s">
        <v>780</v>
      </c>
      <c r="M19" s="1959">
        <f>M13</f>
        <v>3</v>
      </c>
      <c r="N19" s="1926">
        <f>10000*$J$1</f>
        <v>38000</v>
      </c>
      <c r="O19" s="1959">
        <f>N19*M19</f>
        <v>114000</v>
      </c>
      <c r="P19" s="1959"/>
      <c r="Q19" s="1964"/>
      <c r="R19" s="1960"/>
      <c r="S19" s="1967"/>
      <c r="T19" s="1972"/>
      <c r="U19" s="1961">
        <f t="shared" si="5"/>
        <v>3</v>
      </c>
      <c r="V19" s="1961">
        <f t="shared" si="5"/>
        <v>38000</v>
      </c>
      <c r="W19" s="1961">
        <f t="shared" si="5"/>
        <v>114000</v>
      </c>
      <c r="X19" s="1961">
        <f t="shared" si="5"/>
        <v>0</v>
      </c>
      <c r="Y19" s="1968">
        <f t="shared" si="5"/>
        <v>0</v>
      </c>
      <c r="Z19" s="1969">
        <f t="shared" si="5"/>
        <v>0</v>
      </c>
      <c r="AA19" s="1970">
        <f t="shared" si="5"/>
        <v>0</v>
      </c>
      <c r="AB19" s="1972"/>
      <c r="AC19" s="1972"/>
      <c r="AD19" s="1972"/>
      <c r="AE19" s="1972"/>
      <c r="AF19" s="1972"/>
      <c r="AG19" s="1972"/>
      <c r="AH19" s="1972"/>
      <c r="AI19" s="1972"/>
    </row>
    <row r="20" spans="1:38" s="1726" customFormat="1" ht="38.25" x14ac:dyDescent="0.2">
      <c r="A20" s="185"/>
      <c r="B20" s="1957"/>
      <c r="C20" s="1721"/>
      <c r="D20" s="1721"/>
      <c r="E20" s="1721"/>
      <c r="F20" s="1877"/>
      <c r="G20" s="1964"/>
      <c r="H20" s="1965"/>
      <c r="I20" s="1966"/>
      <c r="J20" s="1958"/>
      <c r="K20" s="185"/>
      <c r="L20" s="1957" t="s">
        <v>767</v>
      </c>
      <c r="M20" s="1959">
        <v>3</v>
      </c>
      <c r="N20" s="1926">
        <v>32300</v>
      </c>
      <c r="O20" s="1959">
        <f>N20*M20</f>
        <v>96900</v>
      </c>
      <c r="P20" s="1959"/>
      <c r="Q20" s="1964"/>
      <c r="R20" s="1960"/>
      <c r="S20" s="1967"/>
      <c r="T20" s="1972"/>
      <c r="U20" s="1961"/>
      <c r="V20" s="1961"/>
      <c r="W20" s="1961"/>
      <c r="X20" s="1961"/>
      <c r="Y20" s="1968"/>
      <c r="Z20" s="1969"/>
      <c r="AA20" s="1970"/>
      <c r="AB20" s="1972"/>
      <c r="AC20" s="1972"/>
      <c r="AD20" s="1972"/>
      <c r="AE20" s="1972"/>
      <c r="AF20" s="1972"/>
      <c r="AG20" s="1972"/>
      <c r="AH20" s="1972"/>
      <c r="AI20" s="1972"/>
    </row>
    <row r="21" spans="1:38" x14ac:dyDescent="0.2">
      <c r="A21" s="185"/>
      <c r="B21" s="1957"/>
      <c r="C21" s="1721"/>
      <c r="D21" s="1721"/>
      <c r="E21" s="1721"/>
      <c r="F21" s="1877"/>
      <c r="G21" s="1964"/>
      <c r="H21" s="1965"/>
      <c r="I21" s="1966"/>
      <c r="J21" s="1958"/>
      <c r="K21" s="185"/>
      <c r="L21" s="1963" t="s">
        <v>890</v>
      </c>
      <c r="M21" s="1926">
        <f>M13*M15</f>
        <v>12</v>
      </c>
      <c r="N21" s="1926">
        <f>189.5*$J$1*4</f>
        <v>2880.4</v>
      </c>
      <c r="O21" s="1959">
        <f>N21*M21</f>
        <v>34564.800000000003</v>
      </c>
      <c r="P21" s="1959"/>
      <c r="Q21" s="1964"/>
      <c r="R21" s="1973"/>
      <c r="S21" s="1967"/>
      <c r="U21" s="1961">
        <f t="shared" ref="U21:AA21" si="6">M21-C21</f>
        <v>12</v>
      </c>
      <c r="V21" s="2941">
        <f t="shared" si="6"/>
        <v>2880.4</v>
      </c>
      <c r="W21" s="1961">
        <f t="shared" si="6"/>
        <v>34564.800000000003</v>
      </c>
      <c r="X21" s="1961">
        <f t="shared" si="6"/>
        <v>0</v>
      </c>
      <c r="Y21" s="1968">
        <f t="shared" si="6"/>
        <v>0</v>
      </c>
      <c r="Z21" s="1969">
        <f t="shared" si="6"/>
        <v>0</v>
      </c>
      <c r="AA21" s="1970">
        <f t="shared" si="6"/>
        <v>0</v>
      </c>
    </row>
    <row r="22" spans="1:38" s="1726" customFormat="1" x14ac:dyDescent="0.2">
      <c r="A22" s="185"/>
      <c r="B22" s="1778" t="s">
        <v>13</v>
      </c>
      <c r="C22" s="1879"/>
      <c r="D22" s="1879"/>
      <c r="E22" s="1782">
        <f>SUM(E8:E12)</f>
        <v>456000</v>
      </c>
      <c r="F22" s="1782"/>
      <c r="G22" s="1723"/>
      <c r="H22" s="329"/>
      <c r="I22" s="1746"/>
      <c r="J22" s="1958"/>
      <c r="K22" s="185"/>
      <c r="L22" s="1778" t="s">
        <v>13</v>
      </c>
      <c r="M22" s="1781"/>
      <c r="N22" s="1781"/>
      <c r="O22" s="1782">
        <f>SUM(O8:O21)</f>
        <v>1053519.6000000001</v>
      </c>
      <c r="P22" s="1782"/>
      <c r="Q22" s="1766"/>
      <c r="R22" s="1974"/>
      <c r="S22" s="1975"/>
      <c r="T22" s="1972"/>
      <c r="U22" s="1781"/>
      <c r="V22" s="1781"/>
      <c r="W22" s="1782">
        <f>SUM(W8:W21)</f>
        <v>403719.6</v>
      </c>
      <c r="X22" s="1782">
        <f>SUM(X8:X21)</f>
        <v>0</v>
      </c>
      <c r="Y22" s="1782">
        <f>SUM(Y8:Y21)</f>
        <v>0</v>
      </c>
      <c r="Z22" s="1782">
        <f>SUM(Z8:Z21)</f>
        <v>0</v>
      </c>
      <c r="AA22" s="1782">
        <f>SUM(AA8:AA21)</f>
        <v>0</v>
      </c>
      <c r="AB22" s="1972"/>
      <c r="AC22" s="1972"/>
      <c r="AD22" s="1972"/>
      <c r="AE22" s="1972"/>
      <c r="AF22" s="1976"/>
      <c r="AG22" s="1976"/>
      <c r="AH22" s="1976"/>
      <c r="AI22" s="1972"/>
    </row>
    <row r="23" spans="1:38" s="1726" customFormat="1" ht="21" customHeight="1" x14ac:dyDescent="0.2">
      <c r="A23" s="201"/>
      <c r="B23" s="1977"/>
      <c r="C23" s="1977"/>
      <c r="D23" s="1977"/>
      <c r="E23" s="1978" t="e">
        <f>-E22+#REF!</f>
        <v>#REF!</v>
      </c>
      <c r="F23" s="1977"/>
      <c r="G23" s="1977"/>
      <c r="H23" s="1977"/>
      <c r="I23" s="1977"/>
      <c r="J23" s="1958"/>
      <c r="K23" s="201"/>
      <c r="L23" s="1979"/>
      <c r="M23" s="1980"/>
      <c r="N23" s="1980"/>
      <c r="O23" s="1981">
        <f>-O22+[5]צרפת!$O$22</f>
        <v>0</v>
      </c>
      <c r="P23" s="1981"/>
      <c r="Q23" s="1980"/>
      <c r="R23" s="1980"/>
      <c r="S23" s="1982"/>
      <c r="T23" s="1972"/>
      <c r="U23" s="1972"/>
      <c r="V23" s="1972"/>
      <c r="W23" s="1972"/>
      <c r="X23" s="1972"/>
      <c r="Y23" s="1972"/>
      <c r="Z23" s="1972"/>
      <c r="AA23" s="1972"/>
      <c r="AB23" s="1972"/>
      <c r="AC23" s="1972"/>
      <c r="AD23" s="1972"/>
      <c r="AE23" s="1972"/>
      <c r="AF23" s="1976"/>
      <c r="AG23" s="1930"/>
      <c r="AH23" s="1930"/>
      <c r="AI23" s="1972"/>
    </row>
    <row r="24" spans="1:38" s="1726" customFormat="1" ht="13.5" customHeight="1" x14ac:dyDescent="0.2">
      <c r="A24" s="201"/>
      <c r="B24" s="1977"/>
      <c r="C24" s="1977"/>
      <c r="D24" s="1977"/>
      <c r="E24" s="1977"/>
      <c r="F24" s="1977"/>
      <c r="G24" s="1977"/>
      <c r="H24" s="1977"/>
      <c r="I24" s="1977"/>
      <c r="J24" s="1958"/>
      <c r="K24" s="201"/>
      <c r="L24" s="1980"/>
      <c r="M24" s="1980"/>
      <c r="N24" s="1980"/>
      <c r="O24" s="1981"/>
      <c r="P24" s="1980"/>
      <c r="Q24" s="1980"/>
      <c r="R24" s="1980"/>
      <c r="S24" s="1982"/>
      <c r="T24" s="1972"/>
      <c r="U24" s="1972"/>
      <c r="V24" s="1972"/>
      <c r="W24" s="1972"/>
      <c r="X24" s="1972"/>
      <c r="Y24" s="1972"/>
      <c r="Z24" s="1972"/>
      <c r="AA24" s="1972"/>
      <c r="AB24" s="1972"/>
      <c r="AC24" s="1972"/>
      <c r="AD24" s="1972"/>
      <c r="AE24" s="1972"/>
      <c r="AF24" s="1976"/>
      <c r="AG24" s="1930"/>
      <c r="AH24" s="1930"/>
      <c r="AI24" s="1972"/>
    </row>
    <row r="25" spans="1:38" s="1726" customFormat="1" ht="30.75" customHeight="1" x14ac:dyDescent="0.2">
      <c r="A25" s="201"/>
      <c r="B25" s="1977"/>
      <c r="C25" s="1977"/>
      <c r="D25" s="1977"/>
      <c r="E25" s="1977"/>
      <c r="F25" s="1977"/>
      <c r="G25" s="1977"/>
      <c r="H25" s="1977"/>
      <c r="I25" s="1977"/>
      <c r="J25" s="1958"/>
      <c r="K25" s="201"/>
      <c r="L25" s="1980"/>
      <c r="M25" s="1980"/>
      <c r="N25" s="1980"/>
      <c r="O25" s="1980"/>
      <c r="P25" s="1980"/>
      <c r="Q25" s="1980"/>
      <c r="R25" s="1980"/>
      <c r="S25" s="1982"/>
      <c r="T25" s="1972"/>
      <c r="U25" s="1972"/>
      <c r="V25" s="1972"/>
      <c r="W25" s="1972"/>
      <c r="X25" s="1972"/>
      <c r="Y25" s="1972"/>
      <c r="Z25" s="1972"/>
      <c r="AA25" s="1972"/>
      <c r="AB25" s="1972"/>
      <c r="AC25" s="1972"/>
      <c r="AD25" s="1972"/>
      <c r="AE25" s="1972"/>
      <c r="AF25" s="1976"/>
      <c r="AG25" s="1930"/>
      <c r="AH25" s="1930"/>
      <c r="AI25" s="1972"/>
    </row>
    <row r="26" spans="1:38" s="1726" customFormat="1" ht="13.5" thickBot="1" x14ac:dyDescent="0.25">
      <c r="A26" s="201"/>
      <c r="B26" s="1977"/>
      <c r="C26" s="1977"/>
      <c r="D26" s="1977"/>
      <c r="E26" s="1977"/>
      <c r="F26" s="1977"/>
      <c r="G26" s="1977"/>
      <c r="H26" s="1977"/>
      <c r="I26" s="1977"/>
      <c r="J26" s="1958"/>
      <c r="K26" s="1972"/>
      <c r="L26" s="1972"/>
      <c r="M26" s="1972"/>
      <c r="N26" s="1972"/>
      <c r="O26" s="1972"/>
      <c r="P26" s="1972"/>
      <c r="Q26" s="1972"/>
      <c r="R26" s="1972"/>
      <c r="S26" s="1972"/>
      <c r="T26" s="1972"/>
      <c r="U26" s="1972"/>
      <c r="V26" s="1972"/>
      <c r="W26" s="1972"/>
      <c r="X26" s="1972"/>
      <c r="Y26" s="1972"/>
      <c r="Z26" s="1972"/>
      <c r="AA26" s="1972"/>
      <c r="AB26" s="1972"/>
      <c r="AC26" s="1972"/>
      <c r="AD26" s="1972"/>
      <c r="AE26" s="1972"/>
      <c r="AF26" s="1972"/>
      <c r="AG26" s="1972"/>
      <c r="AH26" s="1972"/>
      <c r="AI26" s="1976"/>
    </row>
    <row r="27" spans="1:38" s="1726" customFormat="1" ht="15" customHeight="1" x14ac:dyDescent="0.2">
      <c r="A27" s="182">
        <v>1</v>
      </c>
      <c r="B27" s="1948" t="s">
        <v>626</v>
      </c>
      <c r="C27" s="3216" t="s">
        <v>87</v>
      </c>
      <c r="D27" s="3216"/>
      <c r="E27" s="3216"/>
      <c r="F27" s="1937"/>
      <c r="G27" s="1949"/>
      <c r="H27" s="3217" t="s">
        <v>88</v>
      </c>
      <c r="I27" s="3218"/>
      <c r="J27" s="1958"/>
      <c r="K27" s="182">
        <v>1</v>
      </c>
      <c r="L27" s="1948" t="s">
        <v>626</v>
      </c>
      <c r="M27" s="3207" t="s">
        <v>812</v>
      </c>
      <c r="N27" s="3208"/>
      <c r="O27" s="3209"/>
      <c r="P27" s="1937"/>
      <c r="Q27" s="1949"/>
      <c r="R27" s="3217" t="s">
        <v>88</v>
      </c>
      <c r="S27" s="3218"/>
      <c r="T27" s="1972"/>
      <c r="U27" s="3216" t="s">
        <v>506</v>
      </c>
      <c r="V27" s="3216"/>
      <c r="W27" s="3216"/>
      <c r="X27" s="1937"/>
      <c r="Y27" s="1939"/>
      <c r="Z27" s="3217" t="s">
        <v>88</v>
      </c>
      <c r="AA27" s="3218"/>
      <c r="AB27" s="1972"/>
      <c r="AC27" s="1972"/>
      <c r="AD27" s="1972"/>
      <c r="AE27" s="1972"/>
      <c r="AF27" s="1972"/>
      <c r="AG27" s="1972"/>
      <c r="AH27" s="1972"/>
      <c r="AI27" s="1976"/>
    </row>
    <row r="28" spans="1:38" s="1726" customFormat="1" ht="38.25" x14ac:dyDescent="0.2">
      <c r="A28" s="185"/>
      <c r="B28" s="590" t="s">
        <v>89</v>
      </c>
      <c r="C28" s="590" t="s">
        <v>90</v>
      </c>
      <c r="D28" s="590" t="s">
        <v>91</v>
      </c>
      <c r="E28" s="590" t="s">
        <v>92</v>
      </c>
      <c r="F28" s="590"/>
      <c r="G28" s="1723"/>
      <c r="H28" s="1831" t="s">
        <v>54</v>
      </c>
      <c r="I28" s="1909" t="s">
        <v>92</v>
      </c>
      <c r="J28" s="1958"/>
      <c r="K28" s="185"/>
      <c r="L28" s="590" t="s">
        <v>89</v>
      </c>
      <c r="M28" s="590" t="s">
        <v>90</v>
      </c>
      <c r="N28" s="590" t="s">
        <v>91</v>
      </c>
      <c r="O28" s="590" t="s">
        <v>92</v>
      </c>
      <c r="P28" s="590"/>
      <c r="Q28" s="1723"/>
      <c r="R28" s="1831" t="s">
        <v>54</v>
      </c>
      <c r="S28" s="1909" t="s">
        <v>92</v>
      </c>
      <c r="T28" s="1972"/>
      <c r="U28" s="590" t="s">
        <v>90</v>
      </c>
      <c r="V28" s="590" t="s">
        <v>91</v>
      </c>
      <c r="W28" s="1830" t="s">
        <v>507</v>
      </c>
      <c r="X28" s="590"/>
      <c r="Y28" s="1766"/>
      <c r="Z28" s="1831" t="s">
        <v>54</v>
      </c>
      <c r="AA28" s="1832" t="s">
        <v>507</v>
      </c>
      <c r="AB28" s="1972"/>
      <c r="AC28" s="1972"/>
      <c r="AD28" s="1972"/>
      <c r="AE28" s="1972"/>
      <c r="AF28" s="1972"/>
      <c r="AG28" s="1972"/>
      <c r="AH28" s="1972"/>
      <c r="AI28" s="1976"/>
    </row>
    <row r="29" spans="1:38" s="1726" customFormat="1" ht="15" customHeight="1" x14ac:dyDescent="0.2">
      <c r="A29" s="185"/>
      <c r="B29" s="1951" t="s">
        <v>93</v>
      </c>
      <c r="C29" s="1899">
        <v>1</v>
      </c>
      <c r="D29" s="1899"/>
      <c r="E29" s="1899"/>
      <c r="F29" s="1899"/>
      <c r="G29" s="1723"/>
      <c r="H29" s="1818"/>
      <c r="I29" s="1952"/>
      <c r="J29" s="1958"/>
      <c r="K29" s="185"/>
      <c r="L29" s="1951" t="s">
        <v>93</v>
      </c>
      <c r="M29" s="1899">
        <v>2</v>
      </c>
      <c r="N29" s="1899"/>
      <c r="O29" s="1899"/>
      <c r="P29" s="1724"/>
      <c r="Q29" s="1723"/>
      <c r="R29" s="1818"/>
      <c r="S29" s="1952"/>
      <c r="T29" s="1972"/>
      <c r="U29" s="1743">
        <f t="shared" ref="U29:AA36" si="7">M29-C29</f>
        <v>1</v>
      </c>
      <c r="V29" s="1743">
        <f t="shared" si="7"/>
        <v>0</v>
      </c>
      <c r="W29" s="1743">
        <f t="shared" si="7"/>
        <v>0</v>
      </c>
      <c r="X29" s="1743">
        <f t="shared" si="7"/>
        <v>0</v>
      </c>
      <c r="Y29" s="1728">
        <f t="shared" si="7"/>
        <v>0</v>
      </c>
      <c r="Z29" s="1769">
        <f t="shared" si="7"/>
        <v>0</v>
      </c>
      <c r="AA29" s="1770">
        <f t="shared" si="7"/>
        <v>0</v>
      </c>
      <c r="AB29" s="1972"/>
      <c r="AC29" s="1972"/>
      <c r="AD29" s="1972"/>
      <c r="AE29" s="1972"/>
      <c r="AF29" s="1972"/>
      <c r="AG29" s="1972"/>
      <c r="AH29" s="1972"/>
      <c r="AI29" s="1976"/>
    </row>
    <row r="30" spans="1:38" s="1726" customFormat="1" ht="15" customHeight="1" x14ac:dyDescent="0.2">
      <c r="A30" s="185"/>
      <c r="B30" s="1951" t="s">
        <v>94</v>
      </c>
      <c r="C30" s="1899">
        <v>12</v>
      </c>
      <c r="D30" s="1899"/>
      <c r="E30" s="1899"/>
      <c r="F30" s="1899"/>
      <c r="G30" s="1723"/>
      <c r="H30" s="1818"/>
      <c r="I30" s="1952"/>
      <c r="J30" s="1958">
        <f>D30/4.8</f>
        <v>0</v>
      </c>
      <c r="K30" s="185"/>
      <c r="L30" s="1951" t="s">
        <v>94</v>
      </c>
      <c r="M30" s="1899">
        <v>12</v>
      </c>
      <c r="N30" s="1899"/>
      <c r="O30" s="1899"/>
      <c r="P30" s="1724"/>
      <c r="Q30" s="1723"/>
      <c r="R30" s="1818"/>
      <c r="S30" s="1952"/>
      <c r="T30" s="1972"/>
      <c r="U30" s="1743">
        <f t="shared" si="7"/>
        <v>0</v>
      </c>
      <c r="V30" s="1743">
        <f t="shared" si="7"/>
        <v>0</v>
      </c>
      <c r="W30" s="1743">
        <f t="shared" si="7"/>
        <v>0</v>
      </c>
      <c r="X30" s="1743">
        <f t="shared" si="7"/>
        <v>0</v>
      </c>
      <c r="Y30" s="1728">
        <f t="shared" si="7"/>
        <v>0</v>
      </c>
      <c r="Z30" s="1769">
        <f t="shared" si="7"/>
        <v>0</v>
      </c>
      <c r="AA30" s="1770">
        <f t="shared" si="7"/>
        <v>0</v>
      </c>
      <c r="AB30" s="1972"/>
      <c r="AC30" s="1972"/>
      <c r="AD30" s="1972"/>
      <c r="AE30" s="1972"/>
      <c r="AF30" s="1972"/>
      <c r="AG30" s="1972"/>
      <c r="AH30" s="1972"/>
      <c r="AI30" s="1976"/>
    </row>
    <row r="31" spans="1:38" s="1726" customFormat="1" ht="15" customHeight="1" x14ac:dyDescent="0.2">
      <c r="A31" s="185"/>
      <c r="B31" s="1951" t="s">
        <v>95</v>
      </c>
      <c r="C31" s="1899">
        <v>2500</v>
      </c>
      <c r="D31" s="1899"/>
      <c r="E31" s="1899"/>
      <c r="F31" s="1899"/>
      <c r="G31" s="1723"/>
      <c r="H31" s="1818"/>
      <c r="I31" s="1952"/>
      <c r="J31" s="1958">
        <f>D31/4.8</f>
        <v>0</v>
      </c>
      <c r="K31" s="185"/>
      <c r="L31" s="1951" t="s">
        <v>95</v>
      </c>
      <c r="M31" s="1899">
        <v>500</v>
      </c>
      <c r="N31" s="1899"/>
      <c r="O31" s="1899"/>
      <c r="P31" s="1724"/>
      <c r="Q31" s="1723"/>
      <c r="R31" s="1818"/>
      <c r="S31" s="1952"/>
      <c r="T31" s="1972"/>
      <c r="U31" s="1983">
        <f t="shared" si="7"/>
        <v>-2000</v>
      </c>
      <c r="V31" s="1743">
        <f t="shared" si="7"/>
        <v>0</v>
      </c>
      <c r="W31" s="1743">
        <f t="shared" si="7"/>
        <v>0</v>
      </c>
      <c r="X31" s="1743">
        <f t="shared" si="7"/>
        <v>0</v>
      </c>
      <c r="Y31" s="1728">
        <f t="shared" si="7"/>
        <v>0</v>
      </c>
      <c r="Z31" s="1769">
        <f t="shared" si="7"/>
        <v>0</v>
      </c>
      <c r="AA31" s="1770">
        <f t="shared" si="7"/>
        <v>0</v>
      </c>
      <c r="AB31" s="1972"/>
      <c r="AC31" s="1972"/>
      <c r="AD31" s="1972"/>
      <c r="AE31" s="1972"/>
      <c r="AF31" s="1972"/>
      <c r="AG31" s="1972"/>
      <c r="AH31" s="1972"/>
      <c r="AI31" s="1976"/>
    </row>
    <row r="32" spans="1:38" s="1726" customFormat="1" ht="25.5" x14ac:dyDescent="0.2">
      <c r="A32" s="185"/>
      <c r="B32" s="1957" t="s">
        <v>803</v>
      </c>
      <c r="C32" s="1877">
        <v>12</v>
      </c>
      <c r="D32" s="1721">
        <v>3840</v>
      </c>
      <c r="E32" s="1877">
        <f>D32*C32</f>
        <v>46080</v>
      </c>
      <c r="F32" s="1877"/>
      <c r="G32" s="1723"/>
      <c r="H32" s="1818"/>
      <c r="I32" s="1952"/>
      <c r="J32" s="1958"/>
      <c r="K32" s="185"/>
      <c r="L32" s="1957" t="s">
        <v>803</v>
      </c>
      <c r="M32" s="1877">
        <f>M29*M30</f>
        <v>24</v>
      </c>
      <c r="N32" s="1721">
        <v>3040</v>
      </c>
      <c r="O32" s="1877">
        <f>M32*N32</f>
        <v>72960</v>
      </c>
      <c r="P32" s="1724"/>
      <c r="Q32" s="1723"/>
      <c r="R32" s="1818"/>
      <c r="S32" s="1952"/>
      <c r="U32" s="1727">
        <f t="shared" si="7"/>
        <v>12</v>
      </c>
      <c r="V32" s="1727">
        <f t="shared" si="7"/>
        <v>-800</v>
      </c>
      <c r="W32" s="1727">
        <f t="shared" si="7"/>
        <v>26880</v>
      </c>
      <c r="X32" s="1743">
        <f t="shared" si="7"/>
        <v>0</v>
      </c>
      <c r="Y32" s="1728">
        <f t="shared" si="7"/>
        <v>0</v>
      </c>
      <c r="Z32" s="1769">
        <f t="shared" si="7"/>
        <v>0</v>
      </c>
      <c r="AA32" s="1770">
        <f t="shared" si="7"/>
        <v>0</v>
      </c>
      <c r="AL32" s="1984"/>
    </row>
    <row r="33" spans="1:45" s="1971" customFormat="1" ht="38.25" x14ac:dyDescent="0.2">
      <c r="A33" s="185"/>
      <c r="B33" s="1957" t="s">
        <v>805</v>
      </c>
      <c r="C33" s="1877">
        <v>72</v>
      </c>
      <c r="D33" s="1721">
        <v>1200</v>
      </c>
      <c r="E33" s="1877">
        <f>D33*C33</f>
        <v>86400</v>
      </c>
      <c r="F33" s="1877"/>
      <c r="G33" s="1723"/>
      <c r="H33" s="1818"/>
      <c r="I33" s="1952"/>
      <c r="J33" s="1731"/>
      <c r="K33" s="185"/>
      <c r="L33" s="1957" t="s">
        <v>805</v>
      </c>
      <c r="M33" s="1877">
        <f>M30*6*M29</f>
        <v>144</v>
      </c>
      <c r="N33" s="1721">
        <v>1200</v>
      </c>
      <c r="O33" s="1877">
        <f>N33*M33</f>
        <v>172800</v>
      </c>
      <c r="P33" s="1724"/>
      <c r="Q33" s="1723"/>
      <c r="R33" s="1818"/>
      <c r="S33" s="1952"/>
      <c r="U33" s="1961">
        <f t="shared" si="7"/>
        <v>72</v>
      </c>
      <c r="V33" s="1961">
        <f t="shared" si="7"/>
        <v>0</v>
      </c>
      <c r="W33" s="1961">
        <f t="shared" si="7"/>
        <v>86400</v>
      </c>
      <c r="X33" s="1961">
        <f t="shared" si="7"/>
        <v>0</v>
      </c>
      <c r="Y33" s="1728">
        <f t="shared" si="7"/>
        <v>0</v>
      </c>
      <c r="Z33" s="1769">
        <f t="shared" si="7"/>
        <v>0</v>
      </c>
      <c r="AA33" s="1770">
        <f t="shared" si="7"/>
        <v>0</v>
      </c>
    </row>
    <row r="34" spans="1:45" x14ac:dyDescent="0.2">
      <c r="A34" s="185"/>
      <c r="B34" s="1957" t="s">
        <v>96</v>
      </c>
      <c r="C34" s="1721">
        <v>1</v>
      </c>
      <c r="D34" s="1721">
        <v>84000</v>
      </c>
      <c r="E34" s="1877">
        <f>D34*C34</f>
        <v>84000</v>
      </c>
      <c r="F34" s="1877"/>
      <c r="G34" s="1723"/>
      <c r="H34" s="1818"/>
      <c r="I34" s="1952"/>
      <c r="J34" s="1958"/>
      <c r="K34" s="185"/>
      <c r="L34" s="1963" t="s">
        <v>779</v>
      </c>
      <c r="M34" s="1721">
        <f>M29</f>
        <v>2</v>
      </c>
      <c r="N34" s="1721">
        <f>20000*$I$1</f>
        <v>84000</v>
      </c>
      <c r="O34" s="1877">
        <f>N34*M34</f>
        <v>168000</v>
      </c>
      <c r="P34" s="1941"/>
      <c r="Q34" s="1723"/>
      <c r="R34" s="1818"/>
      <c r="S34" s="1952"/>
      <c r="U34" s="1961">
        <f t="shared" si="7"/>
        <v>1</v>
      </c>
      <c r="V34" s="1961">
        <f t="shared" si="7"/>
        <v>0</v>
      </c>
      <c r="W34" s="1961">
        <f t="shared" si="7"/>
        <v>84000</v>
      </c>
      <c r="X34" s="1961">
        <f t="shared" si="7"/>
        <v>0</v>
      </c>
      <c r="Y34" s="1728">
        <f t="shared" si="7"/>
        <v>0</v>
      </c>
      <c r="Z34" s="1769">
        <f t="shared" si="7"/>
        <v>0</v>
      </c>
      <c r="AA34" s="1770">
        <f t="shared" si="7"/>
        <v>0</v>
      </c>
    </row>
    <row r="35" spans="1:45" ht="25.5" x14ac:dyDescent="0.2">
      <c r="A35" s="185"/>
      <c r="B35" s="1957" t="s">
        <v>97</v>
      </c>
      <c r="C35" s="1721">
        <v>4</v>
      </c>
      <c r="D35" s="1721">
        <v>2880</v>
      </c>
      <c r="E35" s="1877">
        <f>D35*C35</f>
        <v>11520</v>
      </c>
      <c r="F35" s="1877"/>
      <c r="G35" s="1723"/>
      <c r="H35" s="1818"/>
      <c r="I35" s="1952"/>
      <c r="J35" s="1958"/>
      <c r="K35" s="185"/>
      <c r="L35" s="1963" t="s">
        <v>97</v>
      </c>
      <c r="M35" s="1721">
        <f>M29*2</f>
        <v>4</v>
      </c>
      <c r="N35" s="1721">
        <v>2880</v>
      </c>
      <c r="O35" s="1877">
        <f>N35*M35</f>
        <v>11520</v>
      </c>
      <c r="P35" s="1724"/>
      <c r="Q35" s="1723"/>
      <c r="R35" s="1818"/>
      <c r="S35" s="1952"/>
      <c r="U35" s="1961">
        <f t="shared" si="7"/>
        <v>0</v>
      </c>
      <c r="V35" s="1961">
        <f t="shared" si="7"/>
        <v>0</v>
      </c>
      <c r="W35" s="1961">
        <f t="shared" si="7"/>
        <v>0</v>
      </c>
      <c r="X35" s="1961">
        <f t="shared" si="7"/>
        <v>0</v>
      </c>
      <c r="Y35" s="1728">
        <f t="shared" si="7"/>
        <v>0</v>
      </c>
      <c r="Z35" s="1769">
        <f t="shared" si="7"/>
        <v>0</v>
      </c>
      <c r="AA35" s="1770">
        <f t="shared" si="7"/>
        <v>0</v>
      </c>
    </row>
    <row r="36" spans="1:45" s="1971" customFormat="1" x14ac:dyDescent="0.2">
      <c r="A36" s="185"/>
      <c r="B36" s="1963" t="s">
        <v>439</v>
      </c>
      <c r="C36" s="1721"/>
      <c r="D36" s="1721"/>
      <c r="E36" s="1721"/>
      <c r="F36" s="1877"/>
      <c r="G36" s="1723"/>
      <c r="H36" s="1818"/>
      <c r="I36" s="1952"/>
      <c r="J36" s="1958">
        <f>D36/4.5</f>
        <v>0</v>
      </c>
      <c r="K36" s="185"/>
      <c r="L36" s="1963" t="s">
        <v>439</v>
      </c>
      <c r="M36" s="1721">
        <v>2</v>
      </c>
      <c r="N36" s="1721">
        <v>32300</v>
      </c>
      <c r="O36" s="1877">
        <f>N36*M36</f>
        <v>64600</v>
      </c>
      <c r="P36" s="1891"/>
      <c r="Q36" s="1723"/>
      <c r="R36" s="1818"/>
      <c r="S36" s="1952"/>
      <c r="U36" s="1961">
        <f t="shared" si="7"/>
        <v>2</v>
      </c>
      <c r="V36" s="1961">
        <f t="shared" si="7"/>
        <v>32300</v>
      </c>
      <c r="W36" s="1961">
        <f t="shared" si="7"/>
        <v>64600</v>
      </c>
      <c r="X36" s="1961">
        <f t="shared" si="7"/>
        <v>0</v>
      </c>
      <c r="Y36" s="1728">
        <f t="shared" si="7"/>
        <v>0</v>
      </c>
      <c r="Z36" s="1769">
        <f t="shared" si="7"/>
        <v>0</v>
      </c>
      <c r="AA36" s="1770">
        <f t="shared" si="7"/>
        <v>0</v>
      </c>
    </row>
    <row r="37" spans="1:45" s="1971" customFormat="1" x14ac:dyDescent="0.2">
      <c r="A37" s="185"/>
      <c r="B37" s="1778" t="s">
        <v>13</v>
      </c>
      <c r="C37" s="1879"/>
      <c r="D37" s="1879"/>
      <c r="E37" s="1782">
        <f>SUM(E32:E36)</f>
        <v>228000</v>
      </c>
      <c r="F37" s="1782">
        <f>SUM(F32:F36)</f>
        <v>0</v>
      </c>
      <c r="G37" s="1782">
        <f>SUM(G32:G36)</f>
        <v>0</v>
      </c>
      <c r="H37" s="1782">
        <f>SUM(H32:H36)</f>
        <v>0</v>
      </c>
      <c r="I37" s="1782">
        <f>SUM(I32:I36)</f>
        <v>0</v>
      </c>
      <c r="J37" s="1958"/>
      <c r="K37" s="185"/>
      <c r="L37" s="2807" t="s">
        <v>13</v>
      </c>
      <c r="M37" s="1879"/>
      <c r="N37" s="1879"/>
      <c r="O37" s="1782">
        <f>SUM(O32:O36)</f>
        <v>489880</v>
      </c>
      <c r="P37" s="1782">
        <f>SUM(P32:P36)</f>
        <v>0</v>
      </c>
      <c r="Q37" s="1782">
        <f>SUM(Q32:Q36)</f>
        <v>0</v>
      </c>
      <c r="R37" s="1782">
        <f>SUM(R32:R36)</f>
        <v>0</v>
      </c>
      <c r="S37" s="1782">
        <f>SUM(S32:S36)</f>
        <v>0</v>
      </c>
      <c r="U37" s="1879"/>
      <c r="V37" s="1879"/>
      <c r="W37" s="1782">
        <f>SUM(W32:W36)</f>
        <v>261880</v>
      </c>
      <c r="X37" s="1782">
        <f>SUM(X32:X36)</f>
        <v>0</v>
      </c>
      <c r="Y37" s="1782">
        <f>SUM(Y32:Y36)</f>
        <v>0</v>
      </c>
      <c r="Z37" s="1782">
        <f>SUM(Z32:Z36)</f>
        <v>0</v>
      </c>
      <c r="AA37" s="1782">
        <f>SUM(AA32:AA36)</f>
        <v>0</v>
      </c>
    </row>
    <row r="38" spans="1:45" x14ac:dyDescent="0.2">
      <c r="B38" s="1977"/>
      <c r="C38" s="1977"/>
      <c r="D38" s="1977"/>
      <c r="E38" s="1978"/>
      <c r="F38" s="1977"/>
      <c r="G38" s="1977"/>
      <c r="H38" s="1977"/>
      <c r="I38" s="1977"/>
      <c r="J38" s="1958">
        <f>D38/4.5</f>
        <v>0</v>
      </c>
    </row>
    <row r="39" spans="1:45" s="1971" customFormat="1" x14ac:dyDescent="0.2">
      <c r="A39" s="201"/>
      <c r="B39" s="1977"/>
      <c r="C39" s="1977"/>
      <c r="D39" s="1977"/>
      <c r="E39" s="1977"/>
      <c r="F39" s="1977"/>
      <c r="G39" s="1977"/>
      <c r="H39" s="1977"/>
      <c r="I39" s="1977"/>
      <c r="J39" s="1958">
        <f>D39/4.8</f>
        <v>0</v>
      </c>
      <c r="AJ39" s="1985"/>
    </row>
    <row r="40" spans="1:45" s="1971" customFormat="1" x14ac:dyDescent="0.2">
      <c r="A40" s="201"/>
      <c r="B40" s="1977"/>
      <c r="C40" s="1977"/>
      <c r="D40" s="1977"/>
      <c r="E40" s="1977"/>
      <c r="F40" s="1977"/>
      <c r="G40" s="1977"/>
      <c r="H40" s="1977"/>
      <c r="I40" s="1977"/>
      <c r="J40" s="1731"/>
      <c r="AJ40" s="1985"/>
    </row>
    <row r="41" spans="1:45" s="1971" customFormat="1" x14ac:dyDescent="0.2">
      <c r="A41" s="201"/>
      <c r="B41" s="1977"/>
      <c r="C41" s="1977"/>
      <c r="D41" s="1977"/>
      <c r="E41" s="1977"/>
      <c r="F41" s="1977"/>
      <c r="G41" s="1977"/>
      <c r="H41" s="1977"/>
      <c r="I41" s="1977"/>
      <c r="J41" s="1731"/>
      <c r="AI41" s="1985"/>
    </row>
    <row r="42" spans="1:45" s="1971" customFormat="1" ht="13.5" thickBot="1" x14ac:dyDescent="0.25">
      <c r="A42" s="201"/>
      <c r="B42" s="1977"/>
      <c r="C42" s="1986"/>
      <c r="D42" s="1986"/>
      <c r="E42" s="1987"/>
      <c r="F42" s="1987"/>
      <c r="G42" s="1972"/>
      <c r="H42" s="1757"/>
      <c r="I42" s="1988"/>
      <c r="J42" s="1731"/>
      <c r="AO42" s="1985"/>
    </row>
    <row r="43" spans="1:45" ht="15" customHeight="1" x14ac:dyDescent="0.2">
      <c r="A43" s="182">
        <v>2</v>
      </c>
      <c r="B43" s="1948" t="s">
        <v>98</v>
      </c>
      <c r="C43" s="3216" t="s">
        <v>87</v>
      </c>
      <c r="D43" s="3216"/>
      <c r="E43" s="3216"/>
      <c r="F43" s="1937"/>
      <c r="G43" s="1949"/>
      <c r="H43" s="3217" t="s">
        <v>88</v>
      </c>
      <c r="I43" s="3218"/>
      <c r="K43" s="182">
        <v>2</v>
      </c>
      <c r="L43" s="1948" t="s">
        <v>542</v>
      </c>
      <c r="M43" s="3207" t="s">
        <v>812</v>
      </c>
      <c r="N43" s="3208"/>
      <c r="O43" s="3209"/>
      <c r="P43" s="1937"/>
      <c r="Q43" s="1939"/>
      <c r="R43" s="3217" t="s">
        <v>88</v>
      </c>
      <c r="S43" s="3218"/>
      <c r="U43" s="3216" t="s">
        <v>506</v>
      </c>
      <c r="V43" s="3216"/>
      <c r="W43" s="3216"/>
      <c r="X43" s="1937"/>
      <c r="Y43" s="1939"/>
      <c r="Z43" s="3217" t="s">
        <v>88</v>
      </c>
      <c r="AA43" s="3218"/>
    </row>
    <row r="44" spans="1:45" s="1971" customFormat="1" ht="38.25" x14ac:dyDescent="0.2">
      <c r="A44" s="185"/>
      <c r="B44" s="590" t="s">
        <v>89</v>
      </c>
      <c r="C44" s="590" t="s">
        <v>90</v>
      </c>
      <c r="D44" s="590" t="s">
        <v>91</v>
      </c>
      <c r="E44" s="590" t="s">
        <v>92</v>
      </c>
      <c r="F44" s="590"/>
      <c r="G44" s="1723"/>
      <c r="H44" s="1831" t="s">
        <v>54</v>
      </c>
      <c r="I44" s="1909" t="s">
        <v>92</v>
      </c>
      <c r="J44" s="1731"/>
      <c r="K44" s="185"/>
      <c r="L44" s="590" t="s">
        <v>89</v>
      </c>
      <c r="M44" s="590" t="s">
        <v>90</v>
      </c>
      <c r="N44" s="590" t="s">
        <v>91</v>
      </c>
      <c r="O44" s="1830" t="s">
        <v>502</v>
      </c>
      <c r="P44" s="1950"/>
      <c r="Q44" s="1766"/>
      <c r="R44" s="1831" t="s">
        <v>54</v>
      </c>
      <c r="S44" s="1832" t="s">
        <v>502</v>
      </c>
      <c r="U44" s="590" t="s">
        <v>90</v>
      </c>
      <c r="V44" s="590" t="s">
        <v>91</v>
      </c>
      <c r="W44" s="1830" t="s">
        <v>507</v>
      </c>
      <c r="X44" s="590"/>
      <c r="Y44" s="1766"/>
      <c r="Z44" s="1831" t="s">
        <v>54</v>
      </c>
      <c r="AA44" s="1832" t="s">
        <v>507</v>
      </c>
    </row>
    <row r="45" spans="1:45" s="1971" customFormat="1" ht="25.5" x14ac:dyDescent="0.2">
      <c r="A45" s="185"/>
      <c r="B45" s="1951" t="s">
        <v>806</v>
      </c>
      <c r="C45" s="335">
        <v>1</v>
      </c>
      <c r="D45" s="1899"/>
      <c r="E45" s="1899"/>
      <c r="F45" s="1899"/>
      <c r="G45" s="1723"/>
      <c r="H45" s="1818"/>
      <c r="I45" s="1952"/>
      <c r="J45" s="1731"/>
      <c r="K45" s="185"/>
      <c r="L45" s="1951" t="s">
        <v>807</v>
      </c>
      <c r="M45" s="335">
        <v>2</v>
      </c>
      <c r="N45" s="1955">
        <f>O54/M45</f>
        <v>162681.04</v>
      </c>
      <c r="O45" s="1899"/>
      <c r="P45" s="1899"/>
      <c r="Q45" s="1766"/>
      <c r="R45" s="1942"/>
      <c r="S45" s="1956"/>
      <c r="U45" s="1743">
        <f t="shared" ref="U45:AA51" si="8">M45-C45</f>
        <v>1</v>
      </c>
      <c r="V45" s="1743">
        <f t="shared" si="8"/>
        <v>162681.04</v>
      </c>
      <c r="W45" s="1743">
        <f t="shared" si="8"/>
        <v>0</v>
      </c>
      <c r="X45" s="1743">
        <f t="shared" si="8"/>
        <v>0</v>
      </c>
      <c r="Y45" s="1728">
        <f t="shared" si="8"/>
        <v>0</v>
      </c>
      <c r="Z45" s="1769">
        <f t="shared" si="8"/>
        <v>0</v>
      </c>
      <c r="AA45" s="1770">
        <f t="shared" si="8"/>
        <v>0</v>
      </c>
      <c r="AM45" s="1985"/>
    </row>
    <row r="46" spans="1:45" s="1971" customFormat="1" x14ac:dyDescent="0.2">
      <c r="A46" s="185"/>
      <c r="B46" s="1951" t="s">
        <v>94</v>
      </c>
      <c r="C46" s="335">
        <v>7</v>
      </c>
      <c r="D46" s="1899"/>
      <c r="E46" s="1899"/>
      <c r="F46" s="1899"/>
      <c r="G46" s="1723"/>
      <c r="H46" s="1818"/>
      <c r="I46" s="1952"/>
      <c r="J46" s="1731"/>
      <c r="K46" s="185"/>
      <c r="L46" s="1951" t="s">
        <v>536</v>
      </c>
      <c r="M46" s="335">
        <v>7</v>
      </c>
      <c r="N46" s="1899"/>
      <c r="O46" s="1899"/>
      <c r="P46" s="1899"/>
      <c r="Q46" s="1766"/>
      <c r="R46" s="1942"/>
      <c r="S46" s="1956"/>
      <c r="U46" s="1743">
        <f t="shared" si="8"/>
        <v>0</v>
      </c>
      <c r="V46" s="1743">
        <f t="shared" si="8"/>
        <v>0</v>
      </c>
      <c r="W46" s="1743">
        <f t="shared" si="8"/>
        <v>0</v>
      </c>
      <c r="X46" s="1743">
        <f t="shared" si="8"/>
        <v>0</v>
      </c>
      <c r="Y46" s="1728">
        <f t="shared" si="8"/>
        <v>0</v>
      </c>
      <c r="Z46" s="1769">
        <f t="shared" si="8"/>
        <v>0</v>
      </c>
      <c r="AA46" s="1770">
        <f t="shared" si="8"/>
        <v>0</v>
      </c>
      <c r="AR46" s="1985"/>
    </row>
    <row r="47" spans="1:45" x14ac:dyDescent="0.2">
      <c r="A47" s="185"/>
      <c r="B47" s="1951"/>
      <c r="C47" s="335"/>
      <c r="D47" s="1899"/>
      <c r="E47" s="1899"/>
      <c r="F47" s="1899"/>
      <c r="G47" s="1723"/>
      <c r="H47" s="1818"/>
      <c r="I47" s="1952"/>
      <c r="J47" s="2022">
        <f>D47/4.8</f>
        <v>0</v>
      </c>
      <c r="K47" s="185"/>
      <c r="L47" s="1951" t="s">
        <v>880</v>
      </c>
      <c r="M47" s="1899">
        <v>4</v>
      </c>
      <c r="N47" s="1899"/>
      <c r="O47" s="1899"/>
      <c r="P47" s="1899"/>
      <c r="Q47" s="1766"/>
      <c r="R47" s="1942"/>
      <c r="S47" s="1956"/>
      <c r="U47" s="1743">
        <f t="shared" si="8"/>
        <v>4</v>
      </c>
      <c r="V47" s="1743">
        <f t="shared" si="8"/>
        <v>0</v>
      </c>
      <c r="W47" s="1743">
        <f t="shared" si="8"/>
        <v>0</v>
      </c>
      <c r="X47" s="1743">
        <f t="shared" si="8"/>
        <v>0</v>
      </c>
      <c r="Y47" s="1728">
        <f t="shared" si="8"/>
        <v>0</v>
      </c>
      <c r="Z47" s="1769">
        <f t="shared" si="8"/>
        <v>0</v>
      </c>
      <c r="AA47" s="1770">
        <f t="shared" si="8"/>
        <v>0</v>
      </c>
      <c r="AR47" s="1985"/>
    </row>
    <row r="48" spans="1:45" x14ac:dyDescent="0.2">
      <c r="A48" s="185"/>
      <c r="B48" s="1951" t="s">
        <v>95</v>
      </c>
      <c r="C48" s="1899">
        <v>1050</v>
      </c>
      <c r="D48" s="1899"/>
      <c r="E48" s="1899"/>
      <c r="F48" s="1899"/>
      <c r="G48" s="1723"/>
      <c r="H48" s="1818"/>
      <c r="I48" s="1952"/>
      <c r="J48" s="2022">
        <f>D48/4.8</f>
        <v>0</v>
      </c>
      <c r="K48" s="185"/>
      <c r="L48" s="1951" t="s">
        <v>537</v>
      </c>
      <c r="M48" s="1899">
        <v>1050</v>
      </c>
      <c r="N48" s="1899"/>
      <c r="O48" s="1899"/>
      <c r="P48" s="1899"/>
      <c r="Q48" s="1766"/>
      <c r="R48" s="1942"/>
      <c r="S48" s="1956"/>
      <c r="U48" s="1727">
        <f t="shared" si="8"/>
        <v>0</v>
      </c>
      <c r="V48" s="1727">
        <f t="shared" si="8"/>
        <v>0</v>
      </c>
      <c r="W48" s="1727">
        <f t="shared" si="8"/>
        <v>0</v>
      </c>
      <c r="X48" s="1743">
        <f t="shared" si="8"/>
        <v>0</v>
      </c>
      <c r="Y48" s="1728">
        <f t="shared" si="8"/>
        <v>0</v>
      </c>
      <c r="Z48" s="1769">
        <f t="shared" si="8"/>
        <v>0</v>
      </c>
      <c r="AA48" s="1770">
        <f t="shared" si="8"/>
        <v>0</v>
      </c>
      <c r="AS48" s="1930"/>
    </row>
    <row r="49" spans="1:43" ht="26.25" customHeight="1" x14ac:dyDescent="0.2">
      <c r="A49" s="185"/>
      <c r="B49" s="1963" t="s">
        <v>99</v>
      </c>
      <c r="C49" s="1989">
        <f>C46</f>
        <v>7</v>
      </c>
      <c r="D49" s="1721">
        <f>800*J3</f>
        <v>3840</v>
      </c>
      <c r="E49" s="1721">
        <f>D49*C49</f>
        <v>26880</v>
      </c>
      <c r="F49" s="1877"/>
      <c r="G49" s="1723"/>
      <c r="H49" s="1818"/>
      <c r="I49" s="1952"/>
      <c r="J49" s="2022"/>
      <c r="K49" s="185"/>
      <c r="L49" s="1963" t="s">
        <v>543</v>
      </c>
      <c r="M49" s="1926">
        <f>+M45*M46</f>
        <v>14</v>
      </c>
      <c r="N49" s="1926">
        <f>1000*$J$1</f>
        <v>3800</v>
      </c>
      <c r="O49" s="1926">
        <f t="shared" ref="O49:O53" si="9">+N49*M49</f>
        <v>53200</v>
      </c>
      <c r="P49" s="1959"/>
      <c r="Q49" s="1766"/>
      <c r="R49" s="1942"/>
      <c r="S49" s="1956"/>
      <c r="U49" s="1961">
        <f t="shared" si="8"/>
        <v>7</v>
      </c>
      <c r="V49" s="1961">
        <f t="shared" si="8"/>
        <v>-40</v>
      </c>
      <c r="W49" s="1961">
        <f t="shared" si="8"/>
        <v>26320</v>
      </c>
      <c r="X49" s="1961">
        <f t="shared" si="8"/>
        <v>0</v>
      </c>
      <c r="Y49" s="1728">
        <f t="shared" si="8"/>
        <v>0</v>
      </c>
      <c r="Z49" s="1769">
        <f t="shared" si="8"/>
        <v>0</v>
      </c>
      <c r="AA49" s="1770">
        <f t="shared" si="8"/>
        <v>0</v>
      </c>
    </row>
    <row r="50" spans="1:43" s="1726" customFormat="1" ht="25.5" x14ac:dyDescent="0.2">
      <c r="A50" s="185"/>
      <c r="B50" s="1990" t="s">
        <v>100</v>
      </c>
      <c r="C50" s="1991">
        <f>6*C46</f>
        <v>42</v>
      </c>
      <c r="D50" s="1721">
        <f>(90+120/6*5+60)*J3</f>
        <v>1200</v>
      </c>
      <c r="E50" s="1721">
        <f>D50*C50</f>
        <v>50400</v>
      </c>
      <c r="F50" s="1877"/>
      <c r="G50" s="1723"/>
      <c r="H50" s="1818"/>
      <c r="I50" s="1952"/>
      <c r="J50" s="2022"/>
      <c r="K50" s="185"/>
      <c r="L50" s="1990" t="s">
        <v>544</v>
      </c>
      <c r="M50" s="1992">
        <f>5*M46*M45</f>
        <v>70</v>
      </c>
      <c r="N50" s="1926">
        <f>+(150+90+20)*$J$1</f>
        <v>988</v>
      </c>
      <c r="O50" s="1926">
        <f t="shared" si="9"/>
        <v>69160</v>
      </c>
      <c r="P50" s="1959"/>
      <c r="Q50" s="1766"/>
      <c r="R50" s="1942"/>
      <c r="S50" s="1956"/>
      <c r="U50" s="1961">
        <f t="shared" si="8"/>
        <v>28</v>
      </c>
      <c r="V50" s="1961">
        <f t="shared" si="8"/>
        <v>-212</v>
      </c>
      <c r="W50" s="1961">
        <f t="shared" si="8"/>
        <v>18760</v>
      </c>
      <c r="X50" s="1961">
        <f t="shared" si="8"/>
        <v>0</v>
      </c>
      <c r="Y50" s="1728">
        <f t="shared" si="8"/>
        <v>0</v>
      </c>
      <c r="Z50" s="1769">
        <f t="shared" si="8"/>
        <v>0</v>
      </c>
      <c r="AA50" s="1770">
        <f t="shared" si="8"/>
        <v>0</v>
      </c>
    </row>
    <row r="51" spans="1:43" s="1881" customFormat="1" x14ac:dyDescent="0.2">
      <c r="A51" s="185"/>
      <c r="B51" s="1990" t="s">
        <v>101</v>
      </c>
      <c r="C51" s="1993">
        <f>C45</f>
        <v>1</v>
      </c>
      <c r="D51" s="1721">
        <f>15000*4.5</f>
        <v>67500</v>
      </c>
      <c r="E51" s="1721">
        <f>D51*C51</f>
        <v>67500</v>
      </c>
      <c r="F51" s="1877"/>
      <c r="G51" s="1723"/>
      <c r="H51" s="1818"/>
      <c r="I51" s="1952"/>
      <c r="J51" s="1731"/>
      <c r="K51" s="185"/>
      <c r="L51" s="1963" t="s">
        <v>825</v>
      </c>
      <c r="M51" s="1926">
        <f>M45</f>
        <v>2</v>
      </c>
      <c r="N51" s="1926">
        <f>17500*$J$1</f>
        <v>66500</v>
      </c>
      <c r="O51" s="1926">
        <f t="shared" si="9"/>
        <v>133000</v>
      </c>
      <c r="P51" s="1959"/>
      <c r="Q51" s="1766"/>
      <c r="R51" s="1942"/>
      <c r="S51" s="1956"/>
      <c r="U51" s="1961">
        <f t="shared" si="8"/>
        <v>1</v>
      </c>
      <c r="V51" s="1961">
        <f t="shared" si="8"/>
        <v>-1000</v>
      </c>
      <c r="W51" s="1961">
        <f t="shared" si="8"/>
        <v>65500</v>
      </c>
      <c r="X51" s="1961">
        <f t="shared" si="8"/>
        <v>0</v>
      </c>
      <c r="Y51" s="1728">
        <f t="shared" si="8"/>
        <v>0</v>
      </c>
      <c r="Z51" s="1769">
        <f t="shared" si="8"/>
        <v>0</v>
      </c>
      <c r="AA51" s="1770">
        <f t="shared" si="8"/>
        <v>0</v>
      </c>
      <c r="AI51" s="1994"/>
    </row>
    <row r="52" spans="1:43" s="1881" customFormat="1" ht="25.5" x14ac:dyDescent="0.2">
      <c r="A52" s="185"/>
      <c r="B52" s="1990"/>
      <c r="C52" s="1993"/>
      <c r="D52" s="1721"/>
      <c r="E52" s="1721"/>
      <c r="F52" s="1877"/>
      <c r="G52" s="1723"/>
      <c r="H52" s="1818"/>
      <c r="I52" s="1952"/>
      <c r="J52" s="1731"/>
      <c r="K52" s="185"/>
      <c r="L52" s="1763" t="s">
        <v>504</v>
      </c>
      <c r="M52" s="1926">
        <f>M45</f>
        <v>2</v>
      </c>
      <c r="N52" s="268">
        <v>32300</v>
      </c>
      <c r="O52" s="1926">
        <f t="shared" si="9"/>
        <v>64600</v>
      </c>
      <c r="P52" s="1959"/>
      <c r="Q52" s="1766"/>
      <c r="R52" s="1942"/>
      <c r="S52" s="1956"/>
      <c r="U52" s="1961"/>
      <c r="V52" s="1961"/>
      <c r="W52" s="1961"/>
      <c r="X52" s="1961"/>
      <c r="Y52" s="1728"/>
      <c r="Z52" s="1769"/>
      <c r="AA52" s="1770"/>
      <c r="AI52" s="1994"/>
    </row>
    <row r="53" spans="1:43" x14ac:dyDescent="0.2">
      <c r="A53" s="185"/>
      <c r="B53" s="1990" t="s">
        <v>102</v>
      </c>
      <c r="C53" s="1993">
        <v>4</v>
      </c>
      <c r="D53" s="1721">
        <f>150*4.5</f>
        <v>675</v>
      </c>
      <c r="E53" s="1721">
        <f>D53*C53</f>
        <v>2700</v>
      </c>
      <c r="F53" s="1877"/>
      <c r="G53" s="1723"/>
      <c r="H53" s="1818"/>
      <c r="I53" s="1952"/>
      <c r="K53" s="185"/>
      <c r="L53" s="1963" t="s">
        <v>259</v>
      </c>
      <c r="M53" s="1926">
        <f>+M45*M47</f>
        <v>8</v>
      </c>
      <c r="N53" s="1926">
        <f>177.7*$J$1</f>
        <v>675.25999999999988</v>
      </c>
      <c r="O53" s="1926">
        <f t="shared" si="9"/>
        <v>5402.079999999999</v>
      </c>
      <c r="P53" s="1959"/>
      <c r="Q53" s="1766"/>
      <c r="R53" s="1942"/>
      <c r="S53" s="1956"/>
      <c r="U53" s="1961">
        <f t="shared" ref="U53:AA53" si="10">M53-C53</f>
        <v>4</v>
      </c>
      <c r="V53" s="1961">
        <f t="shared" si="10"/>
        <v>0.25999999999987722</v>
      </c>
      <c r="W53" s="1961">
        <f t="shared" si="10"/>
        <v>2702.079999999999</v>
      </c>
      <c r="X53" s="1961">
        <f t="shared" si="10"/>
        <v>0</v>
      </c>
      <c r="Y53" s="1968">
        <f t="shared" si="10"/>
        <v>0</v>
      </c>
      <c r="Z53" s="1969">
        <f t="shared" si="10"/>
        <v>0</v>
      </c>
      <c r="AA53" s="1970">
        <f t="shared" si="10"/>
        <v>0</v>
      </c>
      <c r="AO53" s="1930"/>
    </row>
    <row r="54" spans="1:43" x14ac:dyDescent="0.2">
      <c r="A54" s="185"/>
      <c r="B54" s="1778" t="s">
        <v>13</v>
      </c>
      <c r="C54" s="1879"/>
      <c r="D54" s="1879"/>
      <c r="E54" s="1782">
        <f>SUM(E49:E53)</f>
        <v>147480</v>
      </c>
      <c r="F54" s="1782"/>
      <c r="G54" s="1723"/>
      <c r="H54" s="329"/>
      <c r="I54" s="1746"/>
      <c r="K54" s="185"/>
      <c r="L54" s="2807" t="s">
        <v>13</v>
      </c>
      <c r="M54" s="1781"/>
      <c r="N54" s="1781"/>
      <c r="O54" s="1782">
        <f>SUM(O49:O53)</f>
        <v>325362.08</v>
      </c>
      <c r="P54" s="1782"/>
      <c r="Q54" s="1766"/>
      <c r="R54" s="1974"/>
      <c r="S54" s="1746"/>
      <c r="U54" s="1781"/>
      <c r="V54" s="1781"/>
      <c r="W54" s="1782">
        <f>SUM(W49:W53)</f>
        <v>113282.08</v>
      </c>
      <c r="X54" s="1782">
        <f>SUM(X49:X53)</f>
        <v>0</v>
      </c>
      <c r="Y54" s="1782">
        <f>SUM(Y49:Y53)</f>
        <v>0</v>
      </c>
      <c r="Z54" s="1782">
        <f>SUM(Z49:Z53)</f>
        <v>0</v>
      </c>
      <c r="AA54" s="1782">
        <f>SUM(AA49:AA53)</f>
        <v>0</v>
      </c>
      <c r="AK54" s="1930"/>
    </row>
    <row r="55" spans="1:43" ht="13.5" thickBot="1" x14ac:dyDescent="0.25">
      <c r="A55" s="1995"/>
      <c r="B55" s="3213" t="s">
        <v>103</v>
      </c>
      <c r="C55" s="3214"/>
      <c r="D55" s="3214"/>
      <c r="E55" s="3214"/>
      <c r="F55" s="3215"/>
      <c r="G55" s="1996"/>
      <c r="H55" s="1996"/>
      <c r="I55" s="1997"/>
      <c r="K55" s="1998"/>
      <c r="L55" s="3243"/>
      <c r="M55" s="3243"/>
      <c r="N55" s="3243"/>
      <c r="O55" s="3243"/>
      <c r="P55" s="3243"/>
      <c r="Q55" s="3243"/>
      <c r="R55" s="3243"/>
      <c r="S55" s="1999"/>
      <c r="AN55" s="1930"/>
    </row>
    <row r="56" spans="1:43" ht="15.75" customHeight="1" thickBot="1" x14ac:dyDescent="0.25">
      <c r="A56" s="1871"/>
      <c r="B56" s="591"/>
      <c r="O56" s="1930">
        <f>-O54</f>
        <v>-325362.08</v>
      </c>
    </row>
    <row r="57" spans="1:43" ht="15" customHeight="1" x14ac:dyDescent="0.2">
      <c r="A57" s="210">
        <v>3</v>
      </c>
      <c r="B57" s="2000" t="s">
        <v>56</v>
      </c>
      <c r="C57" s="3216" t="s">
        <v>104</v>
      </c>
      <c r="D57" s="3216"/>
      <c r="E57" s="3216"/>
      <c r="F57" s="1937"/>
      <c r="G57" s="1949"/>
      <c r="H57" s="3217" t="s">
        <v>88</v>
      </c>
      <c r="I57" s="3218"/>
      <c r="K57" s="210">
        <v>3</v>
      </c>
      <c r="L57" s="2000" t="s">
        <v>56</v>
      </c>
      <c r="M57" s="3207" t="s">
        <v>812</v>
      </c>
      <c r="N57" s="3208"/>
      <c r="O57" s="3209"/>
      <c r="P57" s="2001"/>
      <c r="Q57" s="1939"/>
      <c r="R57" s="3217" t="s">
        <v>88</v>
      </c>
      <c r="S57" s="3218"/>
      <c r="U57" s="3216" t="s">
        <v>506</v>
      </c>
      <c r="V57" s="3216"/>
      <c r="W57" s="3216"/>
      <c r="X57" s="1937"/>
      <c r="Y57" s="1939"/>
      <c r="Z57" s="3217" t="s">
        <v>88</v>
      </c>
      <c r="AA57" s="3218"/>
      <c r="AF57" s="1930"/>
      <c r="AG57" s="1930"/>
      <c r="AH57" s="1930"/>
    </row>
    <row r="58" spans="1:43" ht="38.25" x14ac:dyDescent="0.2">
      <c r="A58" s="212"/>
      <c r="B58" s="590" t="s">
        <v>89</v>
      </c>
      <c r="C58" s="1831" t="s">
        <v>54</v>
      </c>
      <c r="D58" s="590" t="s">
        <v>91</v>
      </c>
      <c r="E58" s="590" t="s">
        <v>105</v>
      </c>
      <c r="F58" s="590" t="s">
        <v>106</v>
      </c>
      <c r="G58" s="1964"/>
      <c r="H58" s="1831" t="s">
        <v>54</v>
      </c>
      <c r="I58" s="1909" t="s">
        <v>92</v>
      </c>
      <c r="K58" s="212"/>
      <c r="L58" s="590" t="s">
        <v>89</v>
      </c>
      <c r="M58" s="590" t="s">
        <v>54</v>
      </c>
      <c r="N58" s="590" t="s">
        <v>91</v>
      </c>
      <c r="O58" s="590" t="s">
        <v>105</v>
      </c>
      <c r="P58" s="590" t="s">
        <v>106</v>
      </c>
      <c r="Q58" s="1766"/>
      <c r="R58" s="1831" t="s">
        <v>54</v>
      </c>
      <c r="S58" s="1832" t="s">
        <v>502</v>
      </c>
      <c r="U58" s="590" t="s">
        <v>90</v>
      </c>
      <c r="V58" s="590" t="s">
        <v>91</v>
      </c>
      <c r="W58" s="1830" t="s">
        <v>507</v>
      </c>
      <c r="X58" s="590"/>
      <c r="Y58" s="1766"/>
      <c r="Z58" s="1831" t="s">
        <v>54</v>
      </c>
      <c r="AA58" s="1832" t="s">
        <v>507</v>
      </c>
      <c r="AF58" s="1930"/>
      <c r="AG58" s="1930"/>
      <c r="AH58" s="1930"/>
      <c r="AO58" s="1930"/>
    </row>
    <row r="59" spans="1:43" x14ac:dyDescent="0.2">
      <c r="A59" s="213"/>
      <c r="B59" s="1899" t="s">
        <v>107</v>
      </c>
      <c r="C59" s="1899">
        <v>1</v>
      </c>
      <c r="D59" s="1899"/>
      <c r="E59" s="1899"/>
      <c r="F59" s="1891"/>
      <c r="G59" s="1723"/>
      <c r="H59" s="1724"/>
      <c r="I59" s="1724"/>
      <c r="K59" s="213"/>
      <c r="L59" s="1899" t="s">
        <v>107</v>
      </c>
      <c r="M59" s="557">
        <v>1</v>
      </c>
      <c r="N59" s="1899"/>
      <c r="O59" s="1899"/>
      <c r="P59" s="1899"/>
      <c r="Q59" s="1766"/>
      <c r="R59" s="1942"/>
      <c r="S59" s="1956"/>
      <c r="U59" s="1743">
        <f t="shared" ref="U59:U69" si="11">M59-C59</f>
        <v>0</v>
      </c>
      <c r="V59" s="1743">
        <f t="shared" ref="V59:V69" si="12">N59-D59</f>
        <v>0</v>
      </c>
      <c r="W59" s="1743">
        <f t="shared" ref="W59:W69" si="13">O59-E59</f>
        <v>0</v>
      </c>
      <c r="X59" s="1743">
        <f t="shared" ref="X59:X69" si="14">P59-F59</f>
        <v>0</v>
      </c>
      <c r="Y59" s="1728">
        <f t="shared" ref="Y59:Y69" si="15">Q59-G59</f>
        <v>0</v>
      </c>
      <c r="Z59" s="1769">
        <f t="shared" ref="Z59:Z69" si="16">R59-H59</f>
        <v>0</v>
      </c>
      <c r="AA59" s="1770">
        <f t="shared" ref="AA59:AA69" si="17">S59-I59</f>
        <v>0</v>
      </c>
      <c r="AQ59" s="1930"/>
    </row>
    <row r="60" spans="1:43" ht="25.5" x14ac:dyDescent="0.2">
      <c r="A60" s="213"/>
      <c r="B60" s="2002" t="s">
        <v>108</v>
      </c>
      <c r="C60" s="1903">
        <v>6</v>
      </c>
      <c r="D60" s="1903">
        <v>19200</v>
      </c>
      <c r="E60" s="1903">
        <f>+D60*C60*0.85</f>
        <v>97920</v>
      </c>
      <c r="F60" s="1903">
        <f>D60*C60*0.15</f>
        <v>17280</v>
      </c>
      <c r="G60" s="1723"/>
      <c r="H60" s="1724"/>
      <c r="I60" s="1724"/>
      <c r="K60" s="213"/>
      <c r="L60" s="2002" t="s">
        <v>108</v>
      </c>
      <c r="M60" s="557">
        <v>15</v>
      </c>
      <c r="N60" s="1903">
        <v>19200</v>
      </c>
      <c r="O60" s="1903">
        <f>+N60*M60*0.85</f>
        <v>244800</v>
      </c>
      <c r="P60" s="1903">
        <f>N60*M60*0.15</f>
        <v>43200</v>
      </c>
      <c r="Q60" s="1766"/>
      <c r="R60" s="1942"/>
      <c r="S60" s="1956"/>
      <c r="U60" s="1727">
        <f t="shared" si="11"/>
        <v>9</v>
      </c>
      <c r="V60" s="1727">
        <f t="shared" si="12"/>
        <v>0</v>
      </c>
      <c r="W60" s="1727">
        <f t="shared" si="13"/>
        <v>146880</v>
      </c>
      <c r="X60" s="1727">
        <f t="shared" si="14"/>
        <v>25920</v>
      </c>
      <c r="Y60" s="1728">
        <f t="shared" si="15"/>
        <v>0</v>
      </c>
      <c r="Z60" s="1769">
        <f t="shared" si="16"/>
        <v>0</v>
      </c>
      <c r="AA60" s="1770">
        <f t="shared" si="17"/>
        <v>0</v>
      </c>
    </row>
    <row r="61" spans="1:43" x14ac:dyDescent="0.2">
      <c r="A61" s="213"/>
      <c r="B61" s="2002" t="s">
        <v>72</v>
      </c>
      <c r="C61" s="1903">
        <v>12</v>
      </c>
      <c r="D61" s="1903">
        <v>12000</v>
      </c>
      <c r="E61" s="1903">
        <f>+D61*C61*0.85</f>
        <v>122400</v>
      </c>
      <c r="F61" s="1903">
        <f>D61*C61*0.15</f>
        <v>21600</v>
      </c>
      <c r="G61" s="1723"/>
      <c r="H61" s="1724"/>
      <c r="I61" s="1724"/>
      <c r="K61" s="213"/>
      <c r="L61" s="2002" t="s">
        <v>72</v>
      </c>
      <c r="M61" s="1903">
        <v>15</v>
      </c>
      <c r="N61" s="1903">
        <v>12000</v>
      </c>
      <c r="O61" s="1903">
        <f>+N61*M61*0.85</f>
        <v>153000</v>
      </c>
      <c r="P61" s="1903">
        <f>N61*M61*0.15</f>
        <v>27000</v>
      </c>
      <c r="Q61" s="1766"/>
      <c r="R61" s="1942"/>
      <c r="S61" s="1956"/>
      <c r="U61" s="1727">
        <f t="shared" si="11"/>
        <v>3</v>
      </c>
      <c r="V61" s="1727">
        <f t="shared" si="12"/>
        <v>0</v>
      </c>
      <c r="W61" s="1727">
        <f t="shared" si="13"/>
        <v>30600</v>
      </c>
      <c r="X61" s="1727">
        <f t="shared" si="14"/>
        <v>5400</v>
      </c>
      <c r="Y61" s="1728">
        <f t="shared" si="15"/>
        <v>0</v>
      </c>
      <c r="Z61" s="1769">
        <f t="shared" si="16"/>
        <v>0</v>
      </c>
      <c r="AA61" s="1770">
        <f t="shared" si="17"/>
        <v>0</v>
      </c>
    </row>
    <row r="62" spans="1:43" ht="25.5" x14ac:dyDescent="0.2">
      <c r="A62" s="213"/>
      <c r="B62" s="2002" t="s">
        <v>109</v>
      </c>
      <c r="C62" s="1903">
        <v>12</v>
      </c>
      <c r="D62" s="1903">
        <f>2100*J2</f>
        <v>10080</v>
      </c>
      <c r="E62" s="1903">
        <f>+D62*C62*0.85</f>
        <v>102816</v>
      </c>
      <c r="F62" s="1903">
        <f>D62*C62*0.15</f>
        <v>18144</v>
      </c>
      <c r="G62" s="1723"/>
      <c r="H62" s="1724"/>
      <c r="I62" s="1724"/>
      <c r="K62" s="213"/>
      <c r="L62" s="2002" t="s">
        <v>109</v>
      </c>
      <c r="M62" s="1903">
        <v>15</v>
      </c>
      <c r="N62" s="1903">
        <v>10080</v>
      </c>
      <c r="O62" s="1903">
        <f>+N62*M62*0.85</f>
        <v>128520</v>
      </c>
      <c r="P62" s="1903">
        <f>N62*M62*0.15</f>
        <v>22680</v>
      </c>
      <c r="Q62" s="1766"/>
      <c r="R62" s="1942"/>
      <c r="S62" s="1956"/>
      <c r="U62" s="1727">
        <f t="shared" si="11"/>
        <v>3</v>
      </c>
      <c r="V62" s="1727">
        <f t="shared" si="12"/>
        <v>0</v>
      </c>
      <c r="W62" s="1727">
        <f t="shared" si="13"/>
        <v>25704</v>
      </c>
      <c r="X62" s="1727">
        <f t="shared" si="14"/>
        <v>4536</v>
      </c>
      <c r="Y62" s="1728">
        <f t="shared" si="15"/>
        <v>0</v>
      </c>
      <c r="Z62" s="1769">
        <f t="shared" si="16"/>
        <v>0</v>
      </c>
      <c r="AA62" s="1770">
        <f t="shared" si="17"/>
        <v>0</v>
      </c>
    </row>
    <row r="63" spans="1:43" ht="25.5" x14ac:dyDescent="0.2">
      <c r="A63" s="213"/>
      <c r="B63" s="2002" t="s">
        <v>110</v>
      </c>
      <c r="C63" s="1903">
        <v>125</v>
      </c>
      <c r="D63" s="1903">
        <f>20*J2</f>
        <v>96</v>
      </c>
      <c r="E63" s="1903">
        <f>+D63*C63*0.85</f>
        <v>10200</v>
      </c>
      <c r="F63" s="1903">
        <f>D63*C63*0.15</f>
        <v>1800</v>
      </c>
      <c r="G63" s="1723"/>
      <c r="H63" s="1724"/>
      <c r="I63" s="1724"/>
      <c r="J63" s="1731" t="s">
        <v>240</v>
      </c>
      <c r="K63" s="213"/>
      <c r="L63" s="2002" t="s">
        <v>110</v>
      </c>
      <c r="M63" s="1903">
        <f>M65+15</f>
        <v>165</v>
      </c>
      <c r="N63" s="1903">
        <v>96</v>
      </c>
      <c r="O63" s="1903">
        <f>M63*N63</f>
        <v>15840</v>
      </c>
      <c r="P63" s="1903"/>
      <c r="Q63" s="1766"/>
      <c r="R63" s="1942"/>
      <c r="S63" s="1956"/>
      <c r="U63" s="1961">
        <f t="shared" si="11"/>
        <v>40</v>
      </c>
      <c r="V63" s="1961">
        <f t="shared" si="12"/>
        <v>0</v>
      </c>
      <c r="W63" s="1961">
        <f t="shared" si="13"/>
        <v>5640</v>
      </c>
      <c r="X63" s="1961">
        <f t="shared" si="14"/>
        <v>-1800</v>
      </c>
      <c r="Y63" s="1728">
        <f t="shared" si="15"/>
        <v>0</v>
      </c>
      <c r="Z63" s="1769">
        <f t="shared" si="16"/>
        <v>0</v>
      </c>
      <c r="AA63" s="1770">
        <f t="shared" si="17"/>
        <v>0</v>
      </c>
    </row>
    <row r="64" spans="1:43" x14ac:dyDescent="0.2">
      <c r="A64" s="185"/>
      <c r="B64" s="333"/>
      <c r="C64" s="333"/>
      <c r="D64" s="333"/>
      <c r="E64" s="333"/>
      <c r="F64" s="1724"/>
      <c r="G64" s="1723"/>
      <c r="H64" s="1724"/>
      <c r="I64" s="1725"/>
      <c r="K64" s="185"/>
      <c r="L64" s="333"/>
      <c r="M64" s="2003"/>
      <c r="N64" s="2004"/>
      <c r="O64" s="1740"/>
      <c r="P64" s="1740"/>
      <c r="Q64" s="1766"/>
      <c r="R64" s="1942"/>
      <c r="S64" s="1956"/>
      <c r="U64" s="1961">
        <f t="shared" si="11"/>
        <v>0</v>
      </c>
      <c r="V64" s="1961">
        <f t="shared" si="12"/>
        <v>0</v>
      </c>
      <c r="W64" s="1961">
        <f t="shared" si="13"/>
        <v>0</v>
      </c>
      <c r="X64" s="1961">
        <f t="shared" si="14"/>
        <v>0</v>
      </c>
      <c r="Y64" s="1728">
        <f t="shared" si="15"/>
        <v>0</v>
      </c>
      <c r="Z64" s="1769">
        <f t="shared" si="16"/>
        <v>0</v>
      </c>
      <c r="AA64" s="1770">
        <f t="shared" si="17"/>
        <v>0</v>
      </c>
    </row>
    <row r="65" spans="1:35" x14ac:dyDescent="0.2">
      <c r="A65" s="185"/>
      <c r="B65" s="2005" t="s">
        <v>111</v>
      </c>
      <c r="C65" s="2006">
        <v>125</v>
      </c>
      <c r="D65" s="2006"/>
      <c r="E65" s="2007"/>
      <c r="F65" s="1724"/>
      <c r="G65" s="1723"/>
      <c r="H65" s="1724"/>
      <c r="I65" s="1725"/>
      <c r="K65" s="185"/>
      <c r="L65" s="2005" t="s">
        <v>111</v>
      </c>
      <c r="M65" s="2003">
        <v>150</v>
      </c>
      <c r="N65" s="2004"/>
      <c r="O65" s="1740"/>
      <c r="P65" s="1740"/>
      <c r="Q65" s="1766"/>
      <c r="R65" s="1942"/>
      <c r="S65" s="1956"/>
      <c r="U65" s="1961">
        <f t="shared" si="11"/>
        <v>25</v>
      </c>
      <c r="V65" s="1961">
        <f t="shared" si="12"/>
        <v>0</v>
      </c>
      <c r="W65" s="1961">
        <f t="shared" si="13"/>
        <v>0</v>
      </c>
      <c r="X65" s="1961">
        <f t="shared" si="14"/>
        <v>0</v>
      </c>
      <c r="Y65" s="1728">
        <f t="shared" si="15"/>
        <v>0</v>
      </c>
      <c r="Z65" s="1769">
        <f t="shared" si="16"/>
        <v>0</v>
      </c>
      <c r="AA65" s="1770">
        <f t="shared" si="17"/>
        <v>0</v>
      </c>
    </row>
    <row r="66" spans="1:35" ht="51" x14ac:dyDescent="0.2">
      <c r="A66" s="185"/>
      <c r="B66" s="1884" t="s">
        <v>867</v>
      </c>
      <c r="C66" s="2008">
        <v>125</v>
      </c>
      <c r="D66" s="2008">
        <f>55000/125+2500</f>
        <v>2940</v>
      </c>
      <c r="E66" s="2008">
        <f>C66*D66</f>
        <v>367500</v>
      </c>
      <c r="F66" s="1724"/>
      <c r="G66" s="1723"/>
      <c r="H66" s="1724"/>
      <c r="I66" s="1725"/>
      <c r="K66" s="185"/>
      <c r="L66" s="1884" t="s">
        <v>867</v>
      </c>
      <c r="M66" s="2008">
        <f>M65</f>
        <v>150</v>
      </c>
      <c r="N66" s="2879">
        <f>55000/M66+2500</f>
        <v>2866.6666666666665</v>
      </c>
      <c r="O66" s="2008">
        <f>M66*N66</f>
        <v>430000</v>
      </c>
      <c r="P66" s="1740"/>
      <c r="Q66" s="1766"/>
      <c r="R66" s="1942"/>
      <c r="S66" s="1956"/>
      <c r="U66" s="1961">
        <f t="shared" si="11"/>
        <v>25</v>
      </c>
      <c r="V66" s="1961">
        <f t="shared" si="12"/>
        <v>-73.333333333333485</v>
      </c>
      <c r="W66" s="1961">
        <f t="shared" si="13"/>
        <v>62500</v>
      </c>
      <c r="X66" s="1961">
        <f t="shared" si="14"/>
        <v>0</v>
      </c>
      <c r="Y66" s="1728">
        <f t="shared" si="15"/>
        <v>0</v>
      </c>
      <c r="Z66" s="1769">
        <f t="shared" si="16"/>
        <v>0</v>
      </c>
      <c r="AA66" s="1770">
        <f t="shared" si="17"/>
        <v>0</v>
      </c>
    </row>
    <row r="67" spans="1:35" x14ac:dyDescent="0.2">
      <c r="A67" s="185"/>
      <c r="B67" s="1884" t="s">
        <v>112</v>
      </c>
      <c r="C67" s="2008">
        <v>125</v>
      </c>
      <c r="D67" s="2008">
        <v>25500</v>
      </c>
      <c r="E67" s="2008">
        <f>C67*D67</f>
        <v>3187500</v>
      </c>
      <c r="F67" s="1724"/>
      <c r="G67" s="1723"/>
      <c r="H67" s="1724"/>
      <c r="I67" s="1725"/>
      <c r="K67" s="185"/>
      <c r="L67" s="1884" t="s">
        <v>112</v>
      </c>
      <c r="M67" s="2008">
        <f>M65</f>
        <v>150</v>
      </c>
      <c r="N67" s="2008">
        <v>25500</v>
      </c>
      <c r="O67" s="2008">
        <f>M67*N67</f>
        <v>3825000</v>
      </c>
      <c r="P67" s="1740"/>
      <c r="Q67" s="1766"/>
      <c r="R67" s="1942"/>
      <c r="S67" s="1956"/>
      <c r="U67" s="1961">
        <f t="shared" si="11"/>
        <v>25</v>
      </c>
      <c r="V67" s="1961">
        <f t="shared" si="12"/>
        <v>0</v>
      </c>
      <c r="W67" s="1961">
        <f t="shared" si="13"/>
        <v>637500</v>
      </c>
      <c r="X67" s="1961">
        <f t="shared" si="14"/>
        <v>0</v>
      </c>
      <c r="Y67" s="1728">
        <f t="shared" si="15"/>
        <v>0</v>
      </c>
      <c r="Z67" s="1769">
        <f t="shared" si="16"/>
        <v>0</v>
      </c>
      <c r="AA67" s="1770">
        <f t="shared" si="17"/>
        <v>0</v>
      </c>
    </row>
    <row r="68" spans="1:35" x14ac:dyDescent="0.2">
      <c r="A68" s="185"/>
      <c r="B68" s="1884" t="s">
        <v>113</v>
      </c>
      <c r="C68" s="2008">
        <v>125</v>
      </c>
      <c r="D68" s="2008">
        <f>-D67/2</f>
        <v>-12750</v>
      </c>
      <c r="E68" s="2008">
        <f>C68*D68</f>
        <v>-1593750</v>
      </c>
      <c r="F68" s="1724"/>
      <c r="G68" s="1723"/>
      <c r="H68" s="1724"/>
      <c r="I68" s="1725"/>
      <c r="J68" s="1971"/>
      <c r="K68" s="185"/>
      <c r="L68" s="1884" t="s">
        <v>113</v>
      </c>
      <c r="M68" s="2008">
        <f>M65</f>
        <v>150</v>
      </c>
      <c r="N68" s="2008">
        <f>-N67/2</f>
        <v>-12750</v>
      </c>
      <c r="O68" s="2008">
        <f>M68*N68</f>
        <v>-1912500</v>
      </c>
      <c r="P68" s="2009"/>
      <c r="Q68" s="1766"/>
      <c r="R68" s="1942"/>
      <c r="S68" s="1956"/>
      <c r="U68" s="1961">
        <f t="shared" si="11"/>
        <v>25</v>
      </c>
      <c r="V68" s="1961">
        <f t="shared" si="12"/>
        <v>0</v>
      </c>
      <c r="W68" s="1961">
        <f t="shared" si="13"/>
        <v>-318750</v>
      </c>
      <c r="X68" s="1961">
        <f t="shared" si="14"/>
        <v>0</v>
      </c>
      <c r="Y68" s="1728">
        <f t="shared" si="15"/>
        <v>0</v>
      </c>
      <c r="Z68" s="1769">
        <f t="shared" si="16"/>
        <v>0</v>
      </c>
      <c r="AA68" s="1770">
        <f t="shared" si="17"/>
        <v>0</v>
      </c>
    </row>
    <row r="69" spans="1:35" x14ac:dyDescent="0.2">
      <c r="A69" s="185"/>
      <c r="B69" s="333"/>
      <c r="C69" s="333"/>
      <c r="D69" s="333"/>
      <c r="E69" s="333"/>
      <c r="F69" s="1724"/>
      <c r="G69" s="1723"/>
      <c r="H69" s="1724"/>
      <c r="I69" s="1725"/>
      <c r="K69" s="185"/>
      <c r="L69" s="333" t="s">
        <v>886</v>
      </c>
      <c r="M69" s="333"/>
      <c r="N69" s="333"/>
      <c r="O69" s="333">
        <v>132000</v>
      </c>
      <c r="P69" s="333"/>
      <c r="Q69" s="1766"/>
      <c r="R69" s="1942"/>
      <c r="S69" s="1956"/>
      <c r="U69" s="1961">
        <f t="shared" si="11"/>
        <v>0</v>
      </c>
      <c r="V69" s="1961">
        <f t="shared" si="12"/>
        <v>0</v>
      </c>
      <c r="W69" s="1961">
        <f t="shared" si="13"/>
        <v>132000</v>
      </c>
      <c r="X69" s="1961">
        <f t="shared" si="14"/>
        <v>0</v>
      </c>
      <c r="Y69" s="1728">
        <f t="shared" si="15"/>
        <v>0</v>
      </c>
      <c r="Z69" s="1769">
        <f t="shared" si="16"/>
        <v>0</v>
      </c>
      <c r="AA69" s="1770">
        <f t="shared" si="17"/>
        <v>0</v>
      </c>
      <c r="AF69" s="1930"/>
      <c r="AG69" s="1930"/>
      <c r="AH69" s="1930"/>
    </row>
    <row r="70" spans="1:35" ht="30" customHeight="1" x14ac:dyDescent="0.2">
      <c r="A70" s="185"/>
      <c r="B70" s="2010" t="s">
        <v>115</v>
      </c>
      <c r="C70" s="2011"/>
      <c r="D70" s="2011"/>
      <c r="E70" s="2012"/>
      <c r="F70" s="1724"/>
      <c r="G70" s="1723"/>
      <c r="H70" s="1724"/>
      <c r="I70" s="1725"/>
      <c r="K70" s="185"/>
      <c r="L70" s="2010" t="s">
        <v>115</v>
      </c>
      <c r="M70" s="2517">
        <v>2</v>
      </c>
      <c r="N70" s="2515"/>
      <c r="O70" s="2516"/>
      <c r="P70" s="333"/>
      <c r="Q70" s="1766"/>
      <c r="R70" s="1942"/>
      <c r="S70" s="1956"/>
      <c r="U70" s="1961"/>
      <c r="V70" s="1961">
        <f t="shared" ref="V70:V77" si="18">N70-D70</f>
        <v>0</v>
      </c>
      <c r="W70" s="1961">
        <f t="shared" ref="W70:W77" si="19">O70-E70</f>
        <v>0</v>
      </c>
      <c r="X70" s="1961">
        <f t="shared" ref="X70:X77" si="20">P70-F70</f>
        <v>0</v>
      </c>
      <c r="Y70" s="1728">
        <f t="shared" ref="Y70:Y77" si="21">Q70-G70</f>
        <v>0</v>
      </c>
      <c r="Z70" s="1769">
        <f t="shared" ref="Z70:Z77" si="22">R70-H70</f>
        <v>0</v>
      </c>
      <c r="AA70" s="1770">
        <f t="shared" ref="AA70:AA77" si="23">S70-I70</f>
        <v>0</v>
      </c>
      <c r="AF70" s="1930"/>
      <c r="AG70" s="1930"/>
      <c r="AH70" s="1930"/>
      <c r="AI70" s="1930"/>
    </row>
    <row r="71" spans="1:35" ht="38.25" x14ac:dyDescent="0.2">
      <c r="A71" s="185"/>
      <c r="B71" s="1763" t="s">
        <v>868</v>
      </c>
      <c r="C71" s="2008">
        <v>5</v>
      </c>
      <c r="D71" s="2008">
        <f>300+9600/5</f>
        <v>2220</v>
      </c>
      <c r="E71" s="2008">
        <f>D71*C71</f>
        <v>11100</v>
      </c>
      <c r="F71" s="1724"/>
      <c r="G71" s="1723"/>
      <c r="H71" s="1724"/>
      <c r="I71" s="1725"/>
      <c r="K71" s="185"/>
      <c r="L71" s="1763" t="s">
        <v>868</v>
      </c>
      <c r="M71" s="2008">
        <v>10</v>
      </c>
      <c r="N71" s="2008">
        <f>300+9600/5</f>
        <v>2220</v>
      </c>
      <c r="O71" s="2008">
        <f>N71*M71</f>
        <v>22200</v>
      </c>
      <c r="P71" s="333"/>
      <c r="Q71" s="1766"/>
      <c r="R71" s="1942"/>
      <c r="S71" s="1956"/>
      <c r="U71" s="1961">
        <f>M71-C71</f>
        <v>5</v>
      </c>
      <c r="V71" s="1961">
        <f t="shared" si="18"/>
        <v>0</v>
      </c>
      <c r="W71" s="1961">
        <f t="shared" si="19"/>
        <v>11100</v>
      </c>
      <c r="X71" s="1961">
        <f t="shared" si="20"/>
        <v>0</v>
      </c>
      <c r="Y71" s="1728">
        <f t="shared" si="21"/>
        <v>0</v>
      </c>
      <c r="Z71" s="1769">
        <f t="shared" si="22"/>
        <v>0</v>
      </c>
      <c r="AA71" s="1770">
        <f t="shared" si="23"/>
        <v>0</v>
      </c>
    </row>
    <row r="72" spans="1:35" x14ac:dyDescent="0.2">
      <c r="A72" s="185"/>
      <c r="B72" s="1763" t="s">
        <v>117</v>
      </c>
      <c r="C72" s="2008">
        <f>50*5</f>
        <v>250</v>
      </c>
      <c r="D72" s="2008">
        <f>25*J2</f>
        <v>120</v>
      </c>
      <c r="E72" s="2008">
        <f>D72*C72</f>
        <v>30000</v>
      </c>
      <c r="F72" s="1724"/>
      <c r="G72" s="1723"/>
      <c r="H72" s="1724"/>
      <c r="I72" s="1725"/>
      <c r="K72" s="185"/>
      <c r="L72" s="1763" t="s">
        <v>117</v>
      </c>
      <c r="M72" s="2008">
        <v>500</v>
      </c>
      <c r="N72" s="2008">
        <v>120</v>
      </c>
      <c r="O72" s="2008">
        <f>N72*M72</f>
        <v>60000</v>
      </c>
      <c r="P72" s="333"/>
      <c r="Q72" s="1766"/>
      <c r="R72" s="1942"/>
      <c r="S72" s="1956"/>
      <c r="U72" s="1961">
        <f>M72-C72</f>
        <v>250</v>
      </c>
      <c r="V72" s="1961">
        <f t="shared" si="18"/>
        <v>0</v>
      </c>
      <c r="W72" s="1961">
        <f t="shared" si="19"/>
        <v>30000</v>
      </c>
      <c r="X72" s="1961">
        <f t="shared" si="20"/>
        <v>0</v>
      </c>
      <c r="Y72" s="1728">
        <f t="shared" si="21"/>
        <v>0</v>
      </c>
      <c r="Z72" s="1769">
        <f t="shared" si="22"/>
        <v>0</v>
      </c>
      <c r="AA72" s="1770">
        <f t="shared" si="23"/>
        <v>0</v>
      </c>
    </row>
    <row r="73" spans="1:35" ht="25.5" x14ac:dyDescent="0.2">
      <c r="A73" s="185"/>
      <c r="B73" s="1763" t="s">
        <v>118</v>
      </c>
      <c r="C73" s="2008">
        <v>250</v>
      </c>
      <c r="D73" s="2008">
        <f>50*J2</f>
        <v>240</v>
      </c>
      <c r="E73" s="2008">
        <f>D73*C73</f>
        <v>60000</v>
      </c>
      <c r="F73" s="1724"/>
      <c r="G73" s="1723"/>
      <c r="H73" s="1724"/>
      <c r="I73" s="1725"/>
      <c r="K73" s="185"/>
      <c r="L73" s="1763" t="s">
        <v>118</v>
      </c>
      <c r="M73" s="2008">
        <v>500</v>
      </c>
      <c r="N73" s="2008">
        <v>240</v>
      </c>
      <c r="O73" s="2008">
        <f>N73*M73</f>
        <v>120000</v>
      </c>
      <c r="P73" s="333"/>
      <c r="Q73" s="1766"/>
      <c r="R73" s="1942"/>
      <c r="S73" s="1956"/>
      <c r="U73" s="1961">
        <f>M73-C73</f>
        <v>250</v>
      </c>
      <c r="V73" s="1961">
        <f t="shared" si="18"/>
        <v>0</v>
      </c>
      <c r="W73" s="1961">
        <f t="shared" si="19"/>
        <v>60000</v>
      </c>
      <c r="X73" s="1961">
        <f t="shared" si="20"/>
        <v>0</v>
      </c>
      <c r="Y73" s="1728">
        <f t="shared" si="21"/>
        <v>0</v>
      </c>
      <c r="Z73" s="1769">
        <f t="shared" si="22"/>
        <v>0</v>
      </c>
      <c r="AA73" s="1770">
        <f t="shared" si="23"/>
        <v>0</v>
      </c>
    </row>
    <row r="74" spans="1:35" x14ac:dyDescent="0.2">
      <c r="A74" s="185"/>
      <c r="B74" s="2010" t="s">
        <v>119</v>
      </c>
      <c r="C74" s="2006" t="s">
        <v>120</v>
      </c>
      <c r="D74" s="2006"/>
      <c r="E74" s="2007"/>
      <c r="F74" s="1724"/>
      <c r="G74" s="1723"/>
      <c r="H74" s="1724"/>
      <c r="I74" s="1725"/>
      <c r="J74" s="1930"/>
      <c r="K74" s="185"/>
      <c r="L74" s="2010" t="s">
        <v>119</v>
      </c>
      <c r="M74" s="2517">
        <v>4</v>
      </c>
      <c r="N74" s="2008"/>
      <c r="O74" s="2008"/>
      <c r="P74" s="333"/>
      <c r="Q74" s="1766"/>
      <c r="R74" s="1942"/>
      <c r="S74" s="1956"/>
      <c r="U74" s="1961"/>
      <c r="V74" s="1961">
        <f t="shared" si="18"/>
        <v>0</v>
      </c>
      <c r="W74" s="1961">
        <f t="shared" si="19"/>
        <v>0</v>
      </c>
      <c r="X74" s="1961">
        <f t="shared" si="20"/>
        <v>0</v>
      </c>
      <c r="Y74" s="1728">
        <f t="shared" si="21"/>
        <v>0</v>
      </c>
      <c r="Z74" s="1769">
        <f t="shared" si="22"/>
        <v>0</v>
      </c>
      <c r="AA74" s="1770">
        <f t="shared" si="23"/>
        <v>0</v>
      </c>
    </row>
    <row r="75" spans="1:35" x14ac:dyDescent="0.2">
      <c r="A75" s="185"/>
      <c r="B75" s="1884" t="s">
        <v>121</v>
      </c>
      <c r="C75" s="2008">
        <v>2</v>
      </c>
      <c r="D75" s="2008">
        <f>800*J1+800</f>
        <v>3840</v>
      </c>
      <c r="E75" s="2008">
        <f>D75*C75</f>
        <v>7680</v>
      </c>
      <c r="F75" s="1724"/>
      <c r="G75" s="1723"/>
      <c r="H75" s="1724"/>
      <c r="I75" s="1725"/>
      <c r="J75" s="1930"/>
      <c r="K75" s="185"/>
      <c r="L75" s="1884" t="s">
        <v>121</v>
      </c>
      <c r="M75" s="2008">
        <v>4</v>
      </c>
      <c r="N75" s="2008">
        <f>800*J1</f>
        <v>3040</v>
      </c>
      <c r="O75" s="2008">
        <f>N75*M75</f>
        <v>12160</v>
      </c>
      <c r="P75" s="333"/>
      <c r="Q75" s="1766"/>
      <c r="R75" s="1942"/>
      <c r="S75" s="1956"/>
      <c r="U75" s="1961">
        <f>M75-C75</f>
        <v>2</v>
      </c>
      <c r="V75" s="1961">
        <f t="shared" si="18"/>
        <v>-800</v>
      </c>
      <c r="W75" s="1961">
        <f t="shared" si="19"/>
        <v>4480</v>
      </c>
      <c r="X75" s="1961">
        <f t="shared" si="20"/>
        <v>0</v>
      </c>
      <c r="Y75" s="1728">
        <f t="shared" si="21"/>
        <v>0</v>
      </c>
      <c r="Z75" s="1769">
        <f t="shared" si="22"/>
        <v>0</v>
      </c>
      <c r="AA75" s="1770">
        <f t="shared" si="23"/>
        <v>0</v>
      </c>
    </row>
    <row r="76" spans="1:35" ht="25.5" x14ac:dyDescent="0.2">
      <c r="A76" s="185"/>
      <c r="B76" s="1884" t="s">
        <v>122</v>
      </c>
      <c r="C76" s="2008">
        <v>2</v>
      </c>
      <c r="D76" s="2008">
        <f>(90*6+200*5+200)*J1</f>
        <v>6612</v>
      </c>
      <c r="E76" s="2008">
        <f>D76*C76</f>
        <v>13224</v>
      </c>
      <c r="F76" s="1724"/>
      <c r="G76" s="1723"/>
      <c r="H76" s="1724"/>
      <c r="I76" s="1725"/>
      <c r="J76" s="1930"/>
      <c r="K76" s="185"/>
      <c r="L76" s="1884" t="s">
        <v>122</v>
      </c>
      <c r="M76" s="2008">
        <v>4</v>
      </c>
      <c r="N76" s="2008">
        <f>(90*6+200*5+200)*J1</f>
        <v>6612</v>
      </c>
      <c r="O76" s="2008">
        <f>N76*M76</f>
        <v>26448</v>
      </c>
      <c r="P76" s="333"/>
      <c r="Q76" s="1766"/>
      <c r="R76" s="1942"/>
      <c r="S76" s="1956"/>
      <c r="U76" s="1961">
        <f>M76-C76</f>
        <v>2</v>
      </c>
      <c r="V76" s="1961">
        <f t="shared" si="18"/>
        <v>0</v>
      </c>
      <c r="W76" s="1961">
        <f t="shared" si="19"/>
        <v>13224</v>
      </c>
      <c r="X76" s="1961">
        <f t="shared" si="20"/>
        <v>0</v>
      </c>
      <c r="Y76" s="1728">
        <f t="shared" si="21"/>
        <v>0</v>
      </c>
      <c r="Z76" s="1769">
        <f t="shared" si="22"/>
        <v>0</v>
      </c>
      <c r="AA76" s="1770">
        <f t="shared" si="23"/>
        <v>0</v>
      </c>
    </row>
    <row r="77" spans="1:35" ht="25.5" x14ac:dyDescent="0.2">
      <c r="A77" s="185"/>
      <c r="B77" s="1884" t="s">
        <v>123</v>
      </c>
      <c r="C77" s="2008">
        <v>80</v>
      </c>
      <c r="D77" s="2008">
        <v>350</v>
      </c>
      <c r="E77" s="2008">
        <f>D77*C77</f>
        <v>28000</v>
      </c>
      <c r="F77" s="1724"/>
      <c r="G77" s="1723"/>
      <c r="H77" s="1724"/>
      <c r="I77" s="1725"/>
      <c r="J77" s="1930"/>
      <c r="K77" s="185"/>
      <c r="L77" s="1884" t="s">
        <v>123</v>
      </c>
      <c r="M77" s="2008">
        <v>160</v>
      </c>
      <c r="N77" s="2008">
        <v>350</v>
      </c>
      <c r="O77" s="2008">
        <f>N77*M77</f>
        <v>56000</v>
      </c>
      <c r="P77" s="333"/>
      <c r="Q77" s="1766"/>
      <c r="R77" s="1942"/>
      <c r="S77" s="1956"/>
      <c r="U77" s="1961">
        <f>M77-C77</f>
        <v>80</v>
      </c>
      <c r="V77" s="1961">
        <f t="shared" si="18"/>
        <v>0</v>
      </c>
      <c r="W77" s="1961">
        <f t="shared" si="19"/>
        <v>28000</v>
      </c>
      <c r="X77" s="1961">
        <f t="shared" si="20"/>
        <v>0</v>
      </c>
      <c r="Y77" s="1728">
        <f t="shared" si="21"/>
        <v>0</v>
      </c>
      <c r="Z77" s="1769">
        <f t="shared" si="22"/>
        <v>0</v>
      </c>
      <c r="AA77" s="1770">
        <f t="shared" si="23"/>
        <v>0</v>
      </c>
      <c r="AG77" s="1930"/>
      <c r="AH77" s="1930"/>
    </row>
    <row r="78" spans="1:35" ht="13.5" thickBot="1" x14ac:dyDescent="0.25">
      <c r="A78" s="185"/>
      <c r="B78" s="1778" t="s">
        <v>13</v>
      </c>
      <c r="C78" s="1879"/>
      <c r="D78" s="1879"/>
      <c r="E78" s="1782">
        <f>SUM(E59:E77)</f>
        <v>2444590</v>
      </c>
      <c r="F78" s="1782">
        <f>SUM(F59:F77)</f>
        <v>58824</v>
      </c>
      <c r="G78" s="1723"/>
      <c r="H78" s="1782"/>
      <c r="I78" s="2013"/>
      <c r="K78" s="185"/>
      <c r="L78" s="2807" t="s">
        <v>13</v>
      </c>
      <c r="M78" s="1907"/>
      <c r="N78" s="1907"/>
      <c r="O78" s="1908">
        <f>SUM(O60:O77)</f>
        <v>3313468</v>
      </c>
      <c r="P78" s="1908">
        <f>SUM(P60:P77)</f>
        <v>92880</v>
      </c>
      <c r="Q78" s="1766"/>
      <c r="R78" s="1908"/>
      <c r="S78" s="1908"/>
      <c r="U78" s="1781"/>
      <c r="V78" s="1781"/>
      <c r="W78" s="1908">
        <f>SUM(W60:W77)</f>
        <v>868878</v>
      </c>
      <c r="X78" s="1908">
        <f>SUM(X60:X77)</f>
        <v>34056</v>
      </c>
      <c r="Y78" s="1782">
        <f>SUM(Y63:Y77)</f>
        <v>0</v>
      </c>
      <c r="Z78" s="1782">
        <f>SUM(Z63:Z77)</f>
        <v>0</v>
      </c>
      <c r="AA78" s="1782">
        <f>SUM(AA63:AA77)</f>
        <v>0</v>
      </c>
      <c r="AF78" s="1930"/>
      <c r="AG78" s="1930"/>
      <c r="AH78" s="1930"/>
    </row>
    <row r="79" spans="1:35" x14ac:dyDescent="0.2">
      <c r="A79" s="2014"/>
      <c r="B79" s="1738" t="s">
        <v>124</v>
      </c>
      <c r="C79" s="1738"/>
      <c r="D79" s="1738"/>
      <c r="E79" s="2834">
        <f>-E78+[1]צרפת!$E$86</f>
        <v>0</v>
      </c>
      <c r="F79" s="1738"/>
      <c r="G79" s="1738"/>
      <c r="H79" s="1738"/>
      <c r="I79" s="1739"/>
      <c r="O79" s="1930">
        <f>-O78+[5]צרפת!$O$80</f>
        <v>0</v>
      </c>
      <c r="P79" s="2015"/>
      <c r="AF79" s="1930"/>
      <c r="AG79" s="1930"/>
      <c r="AH79" s="1930"/>
    </row>
    <row r="80" spans="1:35" x14ac:dyDescent="0.2">
      <c r="A80" s="2014"/>
      <c r="B80" s="1738" t="s">
        <v>125</v>
      </c>
      <c r="C80" s="1738"/>
      <c r="D80" s="1738"/>
      <c r="E80" s="1738"/>
      <c r="F80" s="1738"/>
      <c r="G80" s="1738"/>
      <c r="H80" s="1738"/>
      <c r="I80" s="1739"/>
      <c r="P80" s="2016"/>
    </row>
    <row r="81" spans="1:46" ht="13.5" thickBot="1" x14ac:dyDescent="0.25">
      <c r="A81" s="1995"/>
      <c r="B81" s="1996" t="s">
        <v>126</v>
      </c>
      <c r="C81" s="1996"/>
      <c r="D81" s="1996"/>
      <c r="E81" s="1996"/>
      <c r="F81" s="1996"/>
      <c r="G81" s="1996"/>
      <c r="H81" s="1996"/>
      <c r="I81" s="1997"/>
    </row>
    <row r="82" spans="1:46" ht="13.5" thickBot="1" x14ac:dyDescent="0.25">
      <c r="A82" s="229"/>
      <c r="B82" s="2017"/>
      <c r="C82" s="1726"/>
      <c r="D82" s="1726"/>
      <c r="E82" s="1726"/>
      <c r="F82" s="1726"/>
      <c r="G82" s="1726"/>
      <c r="H82" s="1726"/>
      <c r="I82" s="1726"/>
    </row>
    <row r="83" spans="1:46" ht="15" customHeight="1" x14ac:dyDescent="0.2">
      <c r="A83" s="182">
        <v>4</v>
      </c>
      <c r="B83" s="2000" t="s">
        <v>127</v>
      </c>
      <c r="C83" s="3216" t="s">
        <v>87</v>
      </c>
      <c r="D83" s="3216"/>
      <c r="E83" s="3216"/>
      <c r="F83" s="1937"/>
      <c r="G83" s="1938"/>
      <c r="H83" s="3217" t="s">
        <v>88</v>
      </c>
      <c r="I83" s="3218"/>
      <c r="K83" s="283">
        <v>4</v>
      </c>
      <c r="L83" s="2018" t="s">
        <v>545</v>
      </c>
      <c r="M83" s="3207" t="s">
        <v>812</v>
      </c>
      <c r="N83" s="3208"/>
      <c r="O83" s="3209"/>
      <c r="P83" s="1937"/>
      <c r="Q83" s="1938"/>
      <c r="R83" s="3217" t="s">
        <v>88</v>
      </c>
      <c r="S83" s="3218"/>
      <c r="U83" s="3216" t="s">
        <v>506</v>
      </c>
      <c r="V83" s="3216"/>
      <c r="W83" s="3216"/>
      <c r="X83" s="1937"/>
      <c r="Y83" s="1939"/>
      <c r="Z83" s="3217" t="s">
        <v>88</v>
      </c>
      <c r="AA83" s="3218"/>
    </row>
    <row r="84" spans="1:46" ht="38.25" x14ac:dyDescent="0.2">
      <c r="A84" s="185"/>
      <c r="B84" s="590" t="s">
        <v>89</v>
      </c>
      <c r="C84" s="1831" t="s">
        <v>54</v>
      </c>
      <c r="D84" s="590" t="s">
        <v>91</v>
      </c>
      <c r="E84" s="590" t="s">
        <v>92</v>
      </c>
      <c r="F84" s="590"/>
      <c r="G84" s="1723"/>
      <c r="H84" s="1831" t="s">
        <v>54</v>
      </c>
      <c r="I84" s="1909" t="s">
        <v>92</v>
      </c>
      <c r="K84" s="185"/>
      <c r="L84" s="1950" t="s">
        <v>89</v>
      </c>
      <c r="M84" s="1831" t="s">
        <v>54</v>
      </c>
      <c r="N84" s="590" t="s">
        <v>91</v>
      </c>
      <c r="O84" s="1830" t="s">
        <v>502</v>
      </c>
      <c r="P84" s="1950"/>
      <c r="Q84" s="1766"/>
      <c r="R84" s="1831" t="s">
        <v>54</v>
      </c>
      <c r="S84" s="1832" t="s">
        <v>502</v>
      </c>
      <c r="U84" s="590" t="s">
        <v>90</v>
      </c>
      <c r="V84" s="590" t="s">
        <v>91</v>
      </c>
      <c r="W84" s="1830" t="s">
        <v>507</v>
      </c>
      <c r="X84" s="590"/>
      <c r="Y84" s="1766"/>
      <c r="Z84" s="1831" t="s">
        <v>54</v>
      </c>
      <c r="AA84" s="1832" t="s">
        <v>507</v>
      </c>
    </row>
    <row r="85" spans="1:46" x14ac:dyDescent="0.2">
      <c r="A85" s="185"/>
      <c r="B85" s="2019" t="s">
        <v>128</v>
      </c>
      <c r="C85" s="1721">
        <v>3</v>
      </c>
      <c r="D85" s="1926">
        <f>E91/C85</f>
        <v>103968</v>
      </c>
      <c r="E85" s="1721"/>
      <c r="F85" s="1876"/>
      <c r="G85" s="1723"/>
      <c r="H85" s="1764"/>
      <c r="I85" s="1873"/>
      <c r="K85" s="185"/>
      <c r="L85" s="2020" t="s">
        <v>546</v>
      </c>
      <c r="M85" s="2021">
        <v>5</v>
      </c>
      <c r="N85" s="1926">
        <f>O91/M85</f>
        <v>104122</v>
      </c>
      <c r="O85" s="1926"/>
      <c r="P85" s="268"/>
      <c r="Q85" s="1766"/>
      <c r="R85" s="1764"/>
      <c r="S85" s="1873"/>
      <c r="U85" s="1743">
        <f t="shared" ref="U85:AA88" si="24">M85-C85</f>
        <v>2</v>
      </c>
      <c r="V85" s="1743">
        <f t="shared" si="24"/>
        <v>154</v>
      </c>
      <c r="W85" s="1743">
        <f t="shared" si="24"/>
        <v>0</v>
      </c>
      <c r="X85" s="1743">
        <f t="shared" si="24"/>
        <v>0</v>
      </c>
      <c r="Y85" s="1728">
        <f t="shared" si="24"/>
        <v>0</v>
      </c>
      <c r="Z85" s="1769">
        <f t="shared" si="24"/>
        <v>0</v>
      </c>
      <c r="AA85" s="1770">
        <f t="shared" si="24"/>
        <v>0</v>
      </c>
    </row>
    <row r="86" spans="1:46" x14ac:dyDescent="0.2">
      <c r="A86" s="185"/>
      <c r="B86" s="2019" t="s">
        <v>129</v>
      </c>
      <c r="C86" s="1721">
        <v>125</v>
      </c>
      <c r="D86" s="1721"/>
      <c r="E86" s="1721"/>
      <c r="F86" s="1876"/>
      <c r="G86" s="1723"/>
      <c r="H86" s="1764"/>
      <c r="I86" s="1873"/>
      <c r="K86" s="185"/>
      <c r="L86" s="2020" t="s">
        <v>129</v>
      </c>
      <c r="M86" s="2021">
        <v>125</v>
      </c>
      <c r="N86" s="1926"/>
      <c r="O86" s="1926"/>
      <c r="P86" s="268"/>
      <c r="Q86" s="1766"/>
      <c r="R86" s="1764"/>
      <c r="S86" s="1873"/>
      <c r="U86" s="1743">
        <f t="shared" si="24"/>
        <v>0</v>
      </c>
      <c r="V86" s="1743">
        <f t="shared" si="24"/>
        <v>0</v>
      </c>
      <c r="W86" s="1743">
        <f t="shared" si="24"/>
        <v>0</v>
      </c>
      <c r="X86" s="1743">
        <f t="shared" si="24"/>
        <v>0</v>
      </c>
      <c r="Y86" s="1728">
        <f t="shared" si="24"/>
        <v>0</v>
      </c>
      <c r="Z86" s="1769">
        <f t="shared" si="24"/>
        <v>0</v>
      </c>
      <c r="AA86" s="1770">
        <f t="shared" si="24"/>
        <v>0</v>
      </c>
      <c r="AF86" s="1777"/>
      <c r="AG86" s="1777"/>
      <c r="AH86" s="1777"/>
    </row>
    <row r="87" spans="1:46" x14ac:dyDescent="0.2">
      <c r="A87" s="185"/>
      <c r="B87" s="2019" t="s">
        <v>130</v>
      </c>
      <c r="C87" s="1721">
        <f>$C$86*C85</f>
        <v>375</v>
      </c>
      <c r="D87" s="1721">
        <v>528</v>
      </c>
      <c r="E87" s="1721">
        <f>+D87*C87</f>
        <v>198000</v>
      </c>
      <c r="F87" s="1876"/>
      <c r="G87" s="1723"/>
      <c r="H87" s="1764"/>
      <c r="I87" s="1873"/>
      <c r="K87" s="185"/>
      <c r="L87" s="2023" t="s">
        <v>547</v>
      </c>
      <c r="M87" s="1926">
        <f>+M86*M85</f>
        <v>625</v>
      </c>
      <c r="N87" s="1926">
        <f>130*$J$1</f>
        <v>494</v>
      </c>
      <c r="O87" s="1926">
        <f>+N87*M87</f>
        <v>308750</v>
      </c>
      <c r="P87" s="268"/>
      <c r="Q87" s="1766"/>
      <c r="R87" s="1764"/>
      <c r="S87" s="1873"/>
      <c r="U87" s="1727">
        <f t="shared" si="24"/>
        <v>250</v>
      </c>
      <c r="V87" s="1727">
        <f t="shared" si="24"/>
        <v>-34</v>
      </c>
      <c r="W87" s="1727">
        <f t="shared" si="24"/>
        <v>110750</v>
      </c>
      <c r="X87" s="1743">
        <f t="shared" si="24"/>
        <v>0</v>
      </c>
      <c r="Y87" s="1728">
        <f t="shared" si="24"/>
        <v>0</v>
      </c>
      <c r="Z87" s="1769">
        <f t="shared" si="24"/>
        <v>0</v>
      </c>
      <c r="AA87" s="1770">
        <f t="shared" si="24"/>
        <v>0</v>
      </c>
      <c r="AF87" s="1777"/>
      <c r="AG87" s="1777"/>
      <c r="AH87" s="1777"/>
    </row>
    <row r="88" spans="1:46" ht="25.5" x14ac:dyDescent="0.2">
      <c r="A88" s="185"/>
      <c r="B88" s="2019" t="s">
        <v>131</v>
      </c>
      <c r="C88" s="1721">
        <f>$C$85*7</f>
        <v>21</v>
      </c>
      <c r="D88" s="1721">
        <f>(800)*J3</f>
        <v>3840</v>
      </c>
      <c r="E88" s="1721">
        <f>+D88*C88</f>
        <v>80640</v>
      </c>
      <c r="F88" s="1876"/>
      <c r="G88" s="1723"/>
      <c r="H88" s="1764"/>
      <c r="I88" s="1873"/>
      <c r="K88" s="185"/>
      <c r="L88" s="2024" t="s">
        <v>548</v>
      </c>
      <c r="M88" s="1926">
        <f>M85*3</f>
        <v>15</v>
      </c>
      <c r="N88" s="1926">
        <f>800*$J$1</f>
        <v>3040</v>
      </c>
      <c r="O88" s="1926">
        <f>+N88*M88</f>
        <v>45600</v>
      </c>
      <c r="P88" s="268"/>
      <c r="Q88" s="1766"/>
      <c r="R88" s="1764"/>
      <c r="S88" s="1873"/>
      <c r="U88" s="1727">
        <f t="shared" si="24"/>
        <v>-6</v>
      </c>
      <c r="V88" s="1727">
        <f t="shared" si="24"/>
        <v>-800</v>
      </c>
      <c r="W88" s="1727">
        <f t="shared" si="24"/>
        <v>-35040</v>
      </c>
      <c r="X88" s="1743">
        <f t="shared" si="24"/>
        <v>0</v>
      </c>
      <c r="Y88" s="1728">
        <f t="shared" si="24"/>
        <v>0</v>
      </c>
      <c r="Z88" s="1769">
        <f t="shared" si="24"/>
        <v>0</v>
      </c>
      <c r="AA88" s="1770">
        <f t="shared" si="24"/>
        <v>0</v>
      </c>
      <c r="AG88" s="1777"/>
      <c r="AH88" s="1777"/>
    </row>
    <row r="89" spans="1:46" ht="25.5" x14ac:dyDescent="0.2">
      <c r="A89" s="185"/>
      <c r="B89" s="2019"/>
      <c r="C89" s="1721"/>
      <c r="D89" s="1721"/>
      <c r="E89" s="1721"/>
      <c r="F89" s="1876"/>
      <c r="G89" s="1723"/>
      <c r="H89" s="1764"/>
      <c r="I89" s="1873"/>
      <c r="K89" s="185"/>
      <c r="L89" s="1763" t="s">
        <v>504</v>
      </c>
      <c r="M89" s="1926">
        <f>M85</f>
        <v>5</v>
      </c>
      <c r="N89" s="1926">
        <v>28500</v>
      </c>
      <c r="O89" s="1926">
        <f>+N89*M89</f>
        <v>142500</v>
      </c>
      <c r="P89" s="268"/>
      <c r="Q89" s="1766"/>
      <c r="R89" s="1764"/>
      <c r="S89" s="1873"/>
      <c r="U89" s="1727">
        <f t="shared" ref="U89" si="25">M89-C89</f>
        <v>5</v>
      </c>
      <c r="V89" s="1727">
        <f t="shared" ref="V89" si="26">N89-D89</f>
        <v>28500</v>
      </c>
      <c r="W89" s="1727">
        <f t="shared" ref="W89" si="27">O89-E89</f>
        <v>142500</v>
      </c>
      <c r="X89" s="1743"/>
      <c r="Y89" s="1728"/>
      <c r="Z89" s="1769"/>
      <c r="AA89" s="1770"/>
      <c r="AG89" s="1777"/>
      <c r="AH89" s="1777"/>
    </row>
    <row r="90" spans="1:46" ht="57" x14ac:dyDescent="0.2">
      <c r="A90" s="185"/>
      <c r="B90" s="2019" t="s">
        <v>132</v>
      </c>
      <c r="C90" s="1721">
        <f>$C$85*7</f>
        <v>21</v>
      </c>
      <c r="D90" s="1721">
        <f>330*J3</f>
        <v>1584</v>
      </c>
      <c r="E90" s="1721">
        <f>+D90*C90</f>
        <v>33264</v>
      </c>
      <c r="F90" s="1876"/>
      <c r="G90" s="1964"/>
      <c r="H90" s="1764"/>
      <c r="I90" s="1873"/>
      <c r="J90" s="1902"/>
      <c r="K90" s="185"/>
      <c r="L90" s="2877" t="s">
        <v>549</v>
      </c>
      <c r="M90" s="486">
        <f>M88</f>
        <v>15</v>
      </c>
      <c r="N90" s="486">
        <v>1584</v>
      </c>
      <c r="O90" s="1926">
        <f>+N90*M90</f>
        <v>23760</v>
      </c>
      <c r="P90" s="268"/>
      <c r="Q90" s="1964"/>
      <c r="R90" s="1764"/>
      <c r="S90" s="1873"/>
      <c r="T90" s="1731">
        <f>130*3.8</f>
        <v>494</v>
      </c>
      <c r="U90" s="1961">
        <f t="shared" ref="U90:AA90" si="28">M90-C90</f>
        <v>-6</v>
      </c>
      <c r="V90" s="1961">
        <f t="shared" si="28"/>
        <v>0</v>
      </c>
      <c r="W90" s="1961">
        <f t="shared" si="28"/>
        <v>-9504</v>
      </c>
      <c r="X90" s="1961">
        <f t="shared" si="28"/>
        <v>0</v>
      </c>
      <c r="Y90" s="1728">
        <f t="shared" si="28"/>
        <v>0</v>
      </c>
      <c r="Z90" s="1769">
        <f t="shared" si="28"/>
        <v>0</v>
      </c>
      <c r="AA90" s="1770">
        <f t="shared" si="28"/>
        <v>0</v>
      </c>
      <c r="AG90" s="1777"/>
      <c r="AH90" s="1777"/>
    </row>
    <row r="91" spans="1:46" ht="13.5" thickBot="1" x14ac:dyDescent="0.25">
      <c r="A91" s="200"/>
      <c r="B91" s="2025" t="s">
        <v>13</v>
      </c>
      <c r="C91" s="2026"/>
      <c r="D91" s="2026"/>
      <c r="E91" s="1864">
        <f>SUM(E87:E90)</f>
        <v>311904</v>
      </c>
      <c r="F91" s="1864"/>
      <c r="G91" s="2027"/>
      <c r="H91" s="1760"/>
      <c r="I91" s="2028">
        <f>SUM(I87:I90)</f>
        <v>0</v>
      </c>
      <c r="J91" s="1902"/>
      <c r="K91" s="185"/>
      <c r="L91" s="2808" t="s">
        <v>13</v>
      </c>
      <c r="M91" s="2029"/>
      <c r="N91" s="2029"/>
      <c r="O91" s="2030">
        <f>SUM(O87:O90)</f>
        <v>520610</v>
      </c>
      <c r="P91" s="2030"/>
      <c r="Q91" s="2031"/>
      <c r="R91" s="2032"/>
      <c r="S91" s="2033">
        <f>SUM(S87:S90)</f>
        <v>0</v>
      </c>
      <c r="U91" s="1781"/>
      <c r="V91" s="1781"/>
      <c r="W91" s="1782">
        <f>SUM(W85:W90)</f>
        <v>208706</v>
      </c>
      <c r="X91" s="1782">
        <f>SUM(X85:X90)</f>
        <v>0</v>
      </c>
      <c r="Y91" s="1782">
        <f>SUM(Y85:Y90)</f>
        <v>0</v>
      </c>
      <c r="Z91" s="1782"/>
      <c r="AA91" s="1782">
        <f>SUM(AA85:AA90)</f>
        <v>0</v>
      </c>
      <c r="AO91" s="1777"/>
    </row>
    <row r="92" spans="1:46" x14ac:dyDescent="0.2">
      <c r="B92" s="2034" t="s">
        <v>133</v>
      </c>
      <c r="C92" s="1971"/>
      <c r="D92" s="1971"/>
      <c r="E92" s="2035"/>
      <c r="F92" s="2035"/>
      <c r="G92" s="2036"/>
      <c r="H92" s="1971"/>
      <c r="I92" s="1971"/>
      <c r="J92" s="1902"/>
      <c r="K92" s="185"/>
      <c r="L92" s="3229" t="s">
        <v>550</v>
      </c>
      <c r="M92" s="3229"/>
      <c r="N92" s="3229"/>
      <c r="O92" s="3229"/>
      <c r="P92" s="3229"/>
      <c r="Q92" s="3229"/>
      <c r="R92" s="3229"/>
      <c r="S92" s="2037"/>
      <c r="AO92" s="1777"/>
    </row>
    <row r="93" spans="1:46" ht="13.5" thickBot="1" x14ac:dyDescent="0.25">
      <c r="A93" s="1871"/>
      <c r="B93" s="2034" t="s">
        <v>134</v>
      </c>
      <c r="J93" s="1902">
        <f>D93/6</f>
        <v>0</v>
      </c>
      <c r="K93" s="1998"/>
      <c r="L93" s="3230" t="s">
        <v>551</v>
      </c>
      <c r="M93" s="3230"/>
      <c r="N93" s="3230"/>
      <c r="O93" s="3230"/>
      <c r="P93" s="3230"/>
      <c r="Q93" s="3230"/>
      <c r="R93" s="3230"/>
      <c r="S93" s="2038"/>
      <c r="AT93" s="1777"/>
    </row>
    <row r="94" spans="1:46" ht="13.5" thickBot="1" x14ac:dyDescent="0.25">
      <c r="A94" s="1871"/>
      <c r="B94" s="2034"/>
      <c r="J94" s="1902">
        <f>D94/6</f>
        <v>0</v>
      </c>
      <c r="O94" s="1930">
        <f>-O91+'[5]צרפת-ס'!$O$47</f>
        <v>0</v>
      </c>
      <c r="AK94" s="1777"/>
    </row>
    <row r="95" spans="1:46" x14ac:dyDescent="0.2">
      <c r="A95" s="182">
        <v>5</v>
      </c>
      <c r="B95" s="1936" t="s">
        <v>135</v>
      </c>
      <c r="C95" s="3216" t="s">
        <v>87</v>
      </c>
      <c r="D95" s="3216"/>
      <c r="E95" s="3216"/>
      <c r="F95" s="1937"/>
      <c r="G95" s="1938"/>
      <c r="H95" s="3217" t="s">
        <v>88</v>
      </c>
      <c r="I95" s="3218"/>
      <c r="K95" s="283">
        <v>5</v>
      </c>
      <c r="L95" s="1936" t="s">
        <v>552</v>
      </c>
      <c r="M95" s="3207" t="s">
        <v>812</v>
      </c>
      <c r="N95" s="3208"/>
      <c r="O95" s="3209"/>
      <c r="P95" s="1937"/>
      <c r="Q95" s="1938"/>
      <c r="R95" s="3217" t="s">
        <v>88</v>
      </c>
      <c r="S95" s="3218"/>
      <c r="U95" s="3216" t="s">
        <v>506</v>
      </c>
      <c r="V95" s="3216"/>
      <c r="W95" s="3216"/>
      <c r="X95" s="1937"/>
      <c r="Y95" s="1939"/>
      <c r="Z95" s="3217" t="s">
        <v>88</v>
      </c>
      <c r="AA95" s="3218"/>
      <c r="AO95" s="1777"/>
    </row>
    <row r="96" spans="1:46" ht="38.25" x14ac:dyDescent="0.2">
      <c r="A96" s="185"/>
      <c r="B96" s="590" t="s">
        <v>89</v>
      </c>
      <c r="C96" s="1831" t="s">
        <v>54</v>
      </c>
      <c r="D96" s="590" t="s">
        <v>91</v>
      </c>
      <c r="E96" s="590" t="s">
        <v>92</v>
      </c>
      <c r="F96" s="590"/>
      <c r="G96" s="1723"/>
      <c r="H96" s="1831" t="s">
        <v>54</v>
      </c>
      <c r="I96" s="1909" t="s">
        <v>92</v>
      </c>
      <c r="K96" s="284"/>
      <c r="L96" s="590" t="s">
        <v>89</v>
      </c>
      <c r="M96" s="1831" t="s">
        <v>54</v>
      </c>
      <c r="N96" s="590" t="s">
        <v>91</v>
      </c>
      <c r="O96" s="1830" t="s">
        <v>502</v>
      </c>
      <c r="P96" s="1950"/>
      <c r="Q96" s="1766"/>
      <c r="R96" s="1831" t="s">
        <v>54</v>
      </c>
      <c r="S96" s="1832" t="s">
        <v>502</v>
      </c>
      <c r="U96" s="590" t="s">
        <v>90</v>
      </c>
      <c r="V96" s="590" t="s">
        <v>91</v>
      </c>
      <c r="W96" s="1830" t="s">
        <v>507</v>
      </c>
      <c r="X96" s="590"/>
      <c r="Y96" s="1766"/>
      <c r="Z96" s="1831" t="s">
        <v>54</v>
      </c>
      <c r="AA96" s="1832" t="s">
        <v>507</v>
      </c>
      <c r="AN96" s="1777"/>
    </row>
    <row r="97" spans="1:48" x14ac:dyDescent="0.2">
      <c r="A97" s="1719"/>
      <c r="B97" s="333" t="s">
        <v>136</v>
      </c>
      <c r="C97" s="1721">
        <v>10</v>
      </c>
      <c r="D97" s="1926">
        <f>E104/C97</f>
        <v>30340</v>
      </c>
      <c r="E97" s="1721"/>
      <c r="F97" s="1724"/>
      <c r="G97" s="1723"/>
      <c r="H97" s="1724"/>
      <c r="I97" s="1725"/>
      <c r="K97" s="2039"/>
      <c r="L97" s="2040" t="s">
        <v>136</v>
      </c>
      <c r="M97" s="2021">
        <v>30</v>
      </c>
      <c r="N97" s="1926">
        <f>O104/M97</f>
        <v>25020</v>
      </c>
      <c r="O97" s="1926"/>
      <c r="P97" s="1933"/>
      <c r="Q97" s="1766"/>
      <c r="R97" s="1933"/>
      <c r="S97" s="1934"/>
      <c r="U97" s="1743">
        <f>M97-C97</f>
        <v>20</v>
      </c>
      <c r="V97" s="1743"/>
      <c r="W97" s="1743">
        <f t="shared" ref="W97:AA101" si="29">O97-E97</f>
        <v>0</v>
      </c>
      <c r="X97" s="1743">
        <f t="shared" si="29"/>
        <v>0</v>
      </c>
      <c r="Y97" s="1728">
        <f t="shared" si="29"/>
        <v>0</v>
      </c>
      <c r="Z97" s="1769">
        <f t="shared" si="29"/>
        <v>0</v>
      </c>
      <c r="AA97" s="1770">
        <f t="shared" si="29"/>
        <v>0</v>
      </c>
    </row>
    <row r="98" spans="1:48" x14ac:dyDescent="0.2">
      <c r="A98" s="1719"/>
      <c r="B98" s="333" t="s">
        <v>129</v>
      </c>
      <c r="C98" s="1721">
        <v>100</v>
      </c>
      <c r="D98" s="1721"/>
      <c r="E98" s="1721"/>
      <c r="F98" s="1724"/>
      <c r="G98" s="1723"/>
      <c r="H98" s="1724"/>
      <c r="I98" s="1725"/>
      <c r="K98" s="2039"/>
      <c r="L98" s="2040" t="s">
        <v>553</v>
      </c>
      <c r="M98" s="2021">
        <v>50</v>
      </c>
      <c r="N98" s="1926"/>
      <c r="O98" s="1926"/>
      <c r="P98" s="1933"/>
      <c r="Q98" s="1766"/>
      <c r="R98" s="1933"/>
      <c r="S98" s="1934"/>
      <c r="U98" s="1743">
        <f>M98-C98</f>
        <v>-50</v>
      </c>
      <c r="V98" s="1743">
        <f>N98-D98</f>
        <v>0</v>
      </c>
      <c r="W98" s="1743">
        <f t="shared" si="29"/>
        <v>0</v>
      </c>
      <c r="X98" s="1743">
        <f t="shared" si="29"/>
        <v>0</v>
      </c>
      <c r="Y98" s="1728">
        <f t="shared" si="29"/>
        <v>0</v>
      </c>
      <c r="Z98" s="1769">
        <f t="shared" si="29"/>
        <v>0</v>
      </c>
      <c r="AA98" s="1770">
        <f t="shared" si="29"/>
        <v>0</v>
      </c>
      <c r="AJ98" s="1777"/>
    </row>
    <row r="99" spans="1:48" ht="38.25" x14ac:dyDescent="0.2">
      <c r="A99" s="1719"/>
      <c r="B99" s="333" t="s">
        <v>137</v>
      </c>
      <c r="C99" s="1721">
        <f>C98*C97</f>
        <v>1000</v>
      </c>
      <c r="D99" s="1721">
        <v>250</v>
      </c>
      <c r="E99" s="1721">
        <f>D99*C99</f>
        <v>250000</v>
      </c>
      <c r="F99" s="1724"/>
      <c r="G99" s="1723"/>
      <c r="H99" s="1724"/>
      <c r="I99" s="1725"/>
      <c r="K99" s="2039"/>
      <c r="L99" s="1932" t="s">
        <v>137</v>
      </c>
      <c r="M99" s="1926">
        <f>+M97*M98</f>
        <v>1500</v>
      </c>
      <c r="N99" s="1926">
        <v>250</v>
      </c>
      <c r="O99" s="1926">
        <f>+N99*M99</f>
        <v>375000</v>
      </c>
      <c r="P99" s="1933"/>
      <c r="Q99" s="1766"/>
      <c r="R99" s="1933"/>
      <c r="S99" s="1934"/>
      <c r="U99" s="1727">
        <f>M99-C99</f>
        <v>500</v>
      </c>
      <c r="V99" s="1727">
        <f>N99-D99</f>
        <v>0</v>
      </c>
      <c r="W99" s="1727">
        <f t="shared" si="29"/>
        <v>125000</v>
      </c>
      <c r="X99" s="1743">
        <f t="shared" si="29"/>
        <v>0</v>
      </c>
      <c r="Y99" s="1728">
        <f t="shared" si="29"/>
        <v>0</v>
      </c>
      <c r="Z99" s="1769">
        <f t="shared" si="29"/>
        <v>0</v>
      </c>
      <c r="AA99" s="1770">
        <f t="shared" si="29"/>
        <v>0</v>
      </c>
    </row>
    <row r="100" spans="1:48" x14ac:dyDescent="0.2">
      <c r="A100" s="1719"/>
      <c r="B100" s="333" t="s">
        <v>138</v>
      </c>
      <c r="C100" s="1721">
        <f>C97</f>
        <v>10</v>
      </c>
      <c r="D100" s="1721">
        <v>3840</v>
      </c>
      <c r="E100" s="1721">
        <f>D100*C100</f>
        <v>38400</v>
      </c>
      <c r="F100" s="1724"/>
      <c r="G100" s="1723"/>
      <c r="H100" s="1724"/>
      <c r="I100" s="1725"/>
      <c r="K100" s="2039"/>
      <c r="L100" s="1932" t="s">
        <v>138</v>
      </c>
      <c r="M100" s="1926">
        <f>+M97</f>
        <v>30</v>
      </c>
      <c r="N100" s="1926">
        <f>800*$J$1</f>
        <v>3040</v>
      </c>
      <c r="O100" s="1926">
        <f>+N100*M100</f>
        <v>91200</v>
      </c>
      <c r="P100" s="1933"/>
      <c r="Q100" s="1766"/>
      <c r="R100" s="1933"/>
      <c r="S100" s="1934"/>
      <c r="U100" s="1727">
        <f>M100-C100</f>
        <v>20</v>
      </c>
      <c r="V100" s="1727">
        <f>N100-D100</f>
        <v>-800</v>
      </c>
      <c r="W100" s="1727">
        <f t="shared" si="29"/>
        <v>52800</v>
      </c>
      <c r="X100" s="1743">
        <f t="shared" si="29"/>
        <v>0</v>
      </c>
      <c r="Y100" s="1728">
        <f t="shared" si="29"/>
        <v>0</v>
      </c>
      <c r="Z100" s="1769">
        <f t="shared" si="29"/>
        <v>0</v>
      </c>
      <c r="AA100" s="1770">
        <f t="shared" si="29"/>
        <v>0</v>
      </c>
    </row>
    <row r="101" spans="1:48" ht="42.75" x14ac:dyDescent="0.2">
      <c r="A101" s="1719"/>
      <c r="B101" s="333" t="s">
        <v>139</v>
      </c>
      <c r="C101" s="1721">
        <f>C97</f>
        <v>10</v>
      </c>
      <c r="D101" s="1721">
        <v>1500</v>
      </c>
      <c r="E101" s="1721">
        <f>D101*C101</f>
        <v>15000</v>
      </c>
      <c r="F101" s="1724"/>
      <c r="G101" s="1723"/>
      <c r="H101" s="1724"/>
      <c r="I101" s="1725"/>
      <c r="K101" s="2039"/>
      <c r="L101" s="457" t="s">
        <v>878</v>
      </c>
      <c r="M101" s="1926">
        <f>+M97</f>
        <v>30</v>
      </c>
      <c r="N101" s="2878">
        <f>D101</f>
        <v>1500</v>
      </c>
      <c r="O101" s="1926">
        <f>+N101*M101</f>
        <v>45000</v>
      </c>
      <c r="P101" s="1933"/>
      <c r="Q101" s="1766"/>
      <c r="R101" s="1933"/>
      <c r="S101" s="1934"/>
      <c r="U101" s="1727">
        <f>M101-C101</f>
        <v>20</v>
      </c>
      <c r="V101" s="1727">
        <f>N101-D101</f>
        <v>0</v>
      </c>
      <c r="W101" s="1727">
        <f t="shared" si="29"/>
        <v>30000</v>
      </c>
      <c r="X101" s="1743">
        <f t="shared" si="29"/>
        <v>0</v>
      </c>
      <c r="Y101" s="1728">
        <f t="shared" si="29"/>
        <v>0</v>
      </c>
      <c r="Z101" s="1769">
        <f t="shared" si="29"/>
        <v>0</v>
      </c>
      <c r="AA101" s="1770">
        <f t="shared" si="29"/>
        <v>0</v>
      </c>
    </row>
    <row r="102" spans="1:48" ht="25.5" x14ac:dyDescent="0.2">
      <c r="A102" s="2014"/>
      <c r="B102" s="2041"/>
      <c r="C102" s="1735"/>
      <c r="D102" s="1735"/>
      <c r="E102" s="1735"/>
      <c r="F102" s="1738"/>
      <c r="G102" s="1737"/>
      <c r="H102" s="1738"/>
      <c r="I102" s="1739"/>
      <c r="J102" s="1930">
        <f>D102/6</f>
        <v>0</v>
      </c>
      <c r="K102" s="2039"/>
      <c r="L102" s="1763" t="s">
        <v>504</v>
      </c>
      <c r="M102" s="1926">
        <f>M97</f>
        <v>30</v>
      </c>
      <c r="N102" s="2042">
        <f>28500/4</f>
        <v>7125</v>
      </c>
      <c r="O102" s="1926">
        <f>+N102*M102</f>
        <v>213750</v>
      </c>
      <c r="P102" s="1933"/>
      <c r="Q102" s="1766"/>
      <c r="R102" s="1933"/>
      <c r="S102" s="1934"/>
      <c r="U102" s="1727"/>
      <c r="V102" s="1727"/>
      <c r="W102" s="1727"/>
      <c r="X102" s="1743"/>
      <c r="Y102" s="1728"/>
      <c r="Z102" s="1769"/>
      <c r="AA102" s="1770"/>
    </row>
    <row r="103" spans="1:48" x14ac:dyDescent="0.2">
      <c r="A103" s="2014"/>
      <c r="B103" s="2041"/>
      <c r="C103" s="1735"/>
      <c r="D103" s="1735"/>
      <c r="E103" s="1735"/>
      <c r="F103" s="1738"/>
      <c r="G103" s="1737"/>
      <c r="H103" s="1738"/>
      <c r="I103" s="1739"/>
      <c r="J103" s="1930">
        <f>D103/6</f>
        <v>0</v>
      </c>
      <c r="K103" s="2039"/>
      <c r="L103" s="1771" t="s">
        <v>554</v>
      </c>
      <c r="M103" s="1926">
        <v>15</v>
      </c>
      <c r="N103" s="1926">
        <f>450*J1</f>
        <v>1710</v>
      </c>
      <c r="O103" s="1926">
        <f>+N103*M103</f>
        <v>25650</v>
      </c>
      <c r="P103" s="1933"/>
      <c r="Q103" s="1766"/>
      <c r="R103" s="1933"/>
      <c r="S103" s="2043"/>
      <c r="U103" s="1727">
        <f t="shared" ref="U103:AA103" si="30">M103-C103</f>
        <v>15</v>
      </c>
      <c r="V103" s="1727">
        <f t="shared" si="30"/>
        <v>1710</v>
      </c>
      <c r="W103" s="1727">
        <f t="shared" si="30"/>
        <v>25650</v>
      </c>
      <c r="X103" s="1743">
        <f t="shared" si="30"/>
        <v>0</v>
      </c>
      <c r="Y103" s="1728">
        <f t="shared" si="30"/>
        <v>0</v>
      </c>
      <c r="Z103" s="1769">
        <f t="shared" si="30"/>
        <v>0</v>
      </c>
      <c r="AA103" s="1770">
        <f t="shared" si="30"/>
        <v>0</v>
      </c>
    </row>
    <row r="104" spans="1:48" ht="13.5" thickBot="1" x14ac:dyDescent="0.25">
      <c r="A104" s="200"/>
      <c r="B104" s="1895"/>
      <c r="C104" s="1896"/>
      <c r="D104" s="1896"/>
      <c r="E104" s="1896">
        <f>SUM(E99:E101)</f>
        <v>303400</v>
      </c>
      <c r="F104" s="1896"/>
      <c r="G104" s="1897"/>
      <c r="H104" s="1896"/>
      <c r="I104" s="1898"/>
      <c r="J104" s="1930"/>
      <c r="K104" s="185"/>
      <c r="L104" s="2807" t="s">
        <v>13</v>
      </c>
      <c r="M104" s="1779"/>
      <c r="N104" s="1779"/>
      <c r="O104" s="1779">
        <f>SUM(O99:O103)</f>
        <v>750600</v>
      </c>
      <c r="P104" s="1779"/>
      <c r="Q104" s="1766"/>
      <c r="R104" s="1779"/>
      <c r="S104" s="1780"/>
      <c r="U104" s="1781"/>
      <c r="V104" s="1781"/>
      <c r="W104" s="1782">
        <f>SUM(W97:W103)</f>
        <v>233450</v>
      </c>
      <c r="X104" s="1782">
        <f>SUM(X97:X103)</f>
        <v>0</v>
      </c>
      <c r="Y104" s="1782">
        <f>SUM(Y97:Y103)</f>
        <v>0</v>
      </c>
      <c r="Z104" s="1782">
        <f>SUM(Z97:Z103)</f>
        <v>0</v>
      </c>
      <c r="AA104" s="1782">
        <f>SUM(AA97:AA103)</f>
        <v>0</v>
      </c>
    </row>
    <row r="105" spans="1:48" x14ac:dyDescent="0.2">
      <c r="A105" s="1731"/>
      <c r="B105" s="2034" t="s">
        <v>133</v>
      </c>
      <c r="J105" s="1930">
        <f>D105*6</f>
        <v>0</v>
      </c>
      <c r="K105" s="185"/>
      <c r="L105" s="3229" t="s">
        <v>768</v>
      </c>
      <c r="M105" s="3229"/>
      <c r="N105" s="3229"/>
      <c r="O105" s="3229"/>
      <c r="P105" s="3229"/>
      <c r="Q105" s="3229"/>
      <c r="R105" s="3229"/>
      <c r="S105" s="1889"/>
    </row>
    <row r="106" spans="1:48" ht="13.5" thickBot="1" x14ac:dyDescent="0.25">
      <c r="A106" s="1731"/>
      <c r="B106" s="2044" t="s">
        <v>134</v>
      </c>
      <c r="K106" s="200"/>
      <c r="L106" s="3230"/>
      <c r="M106" s="3230"/>
      <c r="N106" s="3230"/>
      <c r="O106" s="3230"/>
      <c r="P106" s="3230"/>
      <c r="Q106" s="3230"/>
      <c r="R106" s="3230"/>
      <c r="S106" s="1929"/>
      <c r="AJ106" s="1777"/>
    </row>
    <row r="107" spans="1:48" ht="13.5" thickBot="1" x14ac:dyDescent="0.25">
      <c r="A107" s="1731"/>
      <c r="B107" s="2044"/>
      <c r="J107" s="1731" t="s">
        <v>240</v>
      </c>
      <c r="O107" s="1930">
        <f>-O104+'[5]צרפת-ס'!$O$60</f>
        <v>0</v>
      </c>
      <c r="AV107" s="1777"/>
    </row>
    <row r="108" spans="1:48" x14ac:dyDescent="0.2">
      <c r="A108" s="182">
        <v>6</v>
      </c>
      <c r="B108" s="1936" t="s">
        <v>67</v>
      </c>
      <c r="C108" s="3216" t="s">
        <v>104</v>
      </c>
      <c r="D108" s="3216"/>
      <c r="E108" s="3216"/>
      <c r="F108" s="1937"/>
      <c r="G108" s="1938"/>
      <c r="H108" s="3217" t="s">
        <v>88</v>
      </c>
      <c r="I108" s="3218"/>
      <c r="K108" s="182">
        <v>6</v>
      </c>
      <c r="L108" s="1936" t="s">
        <v>67</v>
      </c>
      <c r="M108" s="3207" t="s">
        <v>812</v>
      </c>
      <c r="N108" s="3208"/>
      <c r="O108" s="3209"/>
      <c r="P108" s="2045"/>
      <c r="Q108" s="1938"/>
      <c r="R108" s="3217" t="s">
        <v>88</v>
      </c>
      <c r="S108" s="3218"/>
      <c r="U108" s="3216" t="s">
        <v>506</v>
      </c>
      <c r="V108" s="3216"/>
      <c r="W108" s="3216"/>
      <c r="X108" s="1937"/>
      <c r="Y108" s="1939"/>
      <c r="Z108" s="3217" t="s">
        <v>88</v>
      </c>
      <c r="AA108" s="3218"/>
    </row>
    <row r="109" spans="1:48" ht="38.25" x14ac:dyDescent="0.2">
      <c r="A109" s="185"/>
      <c r="B109" s="590" t="s">
        <v>89</v>
      </c>
      <c r="C109" s="1831" t="s">
        <v>54</v>
      </c>
      <c r="D109" s="590" t="s">
        <v>91</v>
      </c>
      <c r="E109" s="590" t="s">
        <v>105</v>
      </c>
      <c r="F109" s="590" t="s">
        <v>106</v>
      </c>
      <c r="G109" s="1723"/>
      <c r="H109" s="1831" t="s">
        <v>54</v>
      </c>
      <c r="I109" s="1909" t="s">
        <v>92</v>
      </c>
      <c r="K109" s="185"/>
      <c r="L109" s="590" t="s">
        <v>89</v>
      </c>
      <c r="M109" s="590" t="s">
        <v>54</v>
      </c>
      <c r="N109" s="590" t="s">
        <v>91</v>
      </c>
      <c r="O109" s="590" t="s">
        <v>105</v>
      </c>
      <c r="P109" s="590" t="s">
        <v>106</v>
      </c>
      <c r="Q109" s="1723"/>
      <c r="R109" s="1831" t="s">
        <v>54</v>
      </c>
      <c r="S109" s="1909" t="s">
        <v>92</v>
      </c>
      <c r="U109" s="590" t="s">
        <v>90</v>
      </c>
      <c r="V109" s="590" t="s">
        <v>91</v>
      </c>
      <c r="W109" s="1830" t="s">
        <v>507</v>
      </c>
      <c r="X109" s="590"/>
      <c r="Y109" s="1766"/>
      <c r="Z109" s="1831" t="s">
        <v>54</v>
      </c>
      <c r="AA109" s="1832" t="s">
        <v>507</v>
      </c>
      <c r="AM109" s="1777"/>
    </row>
    <row r="110" spans="1:48" x14ac:dyDescent="0.2">
      <c r="A110" s="1719"/>
      <c r="B110" s="2046" t="s">
        <v>140</v>
      </c>
      <c r="C110" s="1775"/>
      <c r="D110" s="2047"/>
      <c r="E110" s="1776"/>
      <c r="F110" s="1776"/>
      <c r="G110" s="1723"/>
      <c r="H110" s="1724" t="s">
        <v>141</v>
      </c>
      <c r="I110" s="1725"/>
      <c r="K110" s="1719"/>
      <c r="L110" s="2046" t="s">
        <v>140</v>
      </c>
      <c r="M110" s="591">
        <v>1</v>
      </c>
      <c r="N110" s="591"/>
      <c r="O110" s="591"/>
      <c r="P110" s="591"/>
      <c r="Q110" s="1723"/>
      <c r="R110" s="1724" t="s">
        <v>141</v>
      </c>
      <c r="S110" s="1725"/>
      <c r="U110" s="1743">
        <f t="shared" ref="U110:Y112" si="31">M110-C110</f>
        <v>1</v>
      </c>
      <c r="V110" s="1743">
        <f t="shared" si="31"/>
        <v>0</v>
      </c>
      <c r="W110" s="1743">
        <f t="shared" si="31"/>
        <v>0</v>
      </c>
      <c r="X110" s="1743">
        <f t="shared" si="31"/>
        <v>0</v>
      </c>
      <c r="Y110" s="1728">
        <f t="shared" si="31"/>
        <v>0</v>
      </c>
      <c r="Z110" s="1769"/>
      <c r="AA110" s="1770">
        <f t="shared" ref="AA110:AA120" si="32">S110-I110</f>
        <v>0</v>
      </c>
      <c r="AF110" s="1777"/>
      <c r="AG110" s="1777"/>
      <c r="AH110" s="1777"/>
    </row>
    <row r="111" spans="1:48" x14ac:dyDescent="0.2">
      <c r="A111" s="1719"/>
      <c r="B111" s="1774" t="s">
        <v>142</v>
      </c>
      <c r="C111" s="1775">
        <v>12</v>
      </c>
      <c r="D111" s="2047">
        <v>3040</v>
      </c>
      <c r="E111" s="1776">
        <f t="shared" ref="E111:E118" si="33">D111*C111*0.85</f>
        <v>31008</v>
      </c>
      <c r="F111" s="1776">
        <f t="shared" ref="F111:F118" si="34">D111*C111*0.15</f>
        <v>5472</v>
      </c>
      <c r="G111" s="1723"/>
      <c r="H111" s="1724"/>
      <c r="I111" s="3219">
        <f>680000-I120</f>
        <v>608000</v>
      </c>
      <c r="K111" s="1719"/>
      <c r="L111" s="1774" t="s">
        <v>142</v>
      </c>
      <c r="M111" s="1775">
        <v>19</v>
      </c>
      <c r="N111" s="2047">
        <f>800*J1</f>
        <v>3040</v>
      </c>
      <c r="O111" s="1776">
        <f>N111*M111*0.85</f>
        <v>49096</v>
      </c>
      <c r="P111" s="1776">
        <f>N111*M111*0.15</f>
        <v>8664</v>
      </c>
      <c r="Q111" s="1723"/>
      <c r="R111" s="1724"/>
      <c r="S111" s="3219">
        <f>1000000-S120</f>
        <v>886000</v>
      </c>
      <c r="U111" s="1743">
        <f t="shared" si="31"/>
        <v>7</v>
      </c>
      <c r="V111" s="1743">
        <f t="shared" si="31"/>
        <v>0</v>
      </c>
      <c r="W111" s="1743">
        <f t="shared" si="31"/>
        <v>18088</v>
      </c>
      <c r="X111" s="1743">
        <f t="shared" si="31"/>
        <v>3192</v>
      </c>
      <c r="Y111" s="1728">
        <f t="shared" si="31"/>
        <v>0</v>
      </c>
      <c r="Z111" s="1769">
        <f t="shared" ref="Z111:Z120" si="35">R111-H111</f>
        <v>0</v>
      </c>
      <c r="AA111" s="1770">
        <f t="shared" si="32"/>
        <v>278000</v>
      </c>
      <c r="AF111" s="1777"/>
      <c r="AG111" s="1777"/>
      <c r="AH111" s="1777"/>
    </row>
    <row r="112" spans="1:48" x14ac:dyDescent="0.2">
      <c r="A112" s="1719"/>
      <c r="B112" s="1774" t="s">
        <v>143</v>
      </c>
      <c r="C112" s="1775">
        <v>12</v>
      </c>
      <c r="D112" s="2047">
        <v>1577</v>
      </c>
      <c r="E112" s="1776">
        <f t="shared" si="33"/>
        <v>16085.4</v>
      </c>
      <c r="F112" s="1776">
        <f t="shared" si="34"/>
        <v>2838.6</v>
      </c>
      <c r="G112" s="1723"/>
      <c r="H112" s="1724"/>
      <c r="I112" s="3220"/>
      <c r="K112" s="1719"/>
      <c r="L112" s="1774" t="s">
        <v>143</v>
      </c>
      <c r="M112" s="1775">
        <v>19</v>
      </c>
      <c r="N112" s="2047">
        <f>D112</f>
        <v>1577</v>
      </c>
      <c r="O112" s="1776">
        <f>N112*M112*0.85</f>
        <v>25468.55</v>
      </c>
      <c r="P112" s="1776">
        <f>N112*M112*0.15</f>
        <v>4494.45</v>
      </c>
      <c r="Q112" s="1723"/>
      <c r="R112" s="1724"/>
      <c r="S112" s="3220"/>
      <c r="U112" s="1727">
        <f t="shared" si="31"/>
        <v>7</v>
      </c>
      <c r="V112" s="1727">
        <f t="shared" si="31"/>
        <v>0</v>
      </c>
      <c r="W112" s="1727">
        <f t="shared" si="31"/>
        <v>9383.15</v>
      </c>
      <c r="X112" s="1743">
        <f t="shared" si="31"/>
        <v>1655.85</v>
      </c>
      <c r="Y112" s="1728">
        <f t="shared" si="31"/>
        <v>0</v>
      </c>
      <c r="Z112" s="1769">
        <f t="shared" si="35"/>
        <v>0</v>
      </c>
      <c r="AA112" s="1770">
        <f t="shared" si="32"/>
        <v>0</v>
      </c>
      <c r="AG112" s="1777"/>
      <c r="AH112" s="1777"/>
    </row>
    <row r="113" spans="1:47" x14ac:dyDescent="0.2">
      <c r="A113" s="1719"/>
      <c r="B113" s="1774" t="s">
        <v>144</v>
      </c>
      <c r="C113" s="1775">
        <v>12</v>
      </c>
      <c r="D113" s="2047">
        <v>9576</v>
      </c>
      <c r="E113" s="1776">
        <f t="shared" si="33"/>
        <v>97675.199999999997</v>
      </c>
      <c r="F113" s="1776">
        <f t="shared" si="34"/>
        <v>17236.8</v>
      </c>
      <c r="G113" s="1723"/>
      <c r="H113" s="1724"/>
      <c r="I113" s="3220"/>
      <c r="K113" s="1719"/>
      <c r="L113" s="1774" t="s">
        <v>144</v>
      </c>
      <c r="M113" s="1775">
        <f>M111*12</f>
        <v>228</v>
      </c>
      <c r="N113" s="2047">
        <f>9576/14</f>
        <v>684</v>
      </c>
      <c r="O113" s="1776">
        <f>N113*M113*0.85</f>
        <v>132559.19999999998</v>
      </c>
      <c r="P113" s="1776">
        <f>N113*M113*0.15</f>
        <v>23392.799999999999</v>
      </c>
      <c r="Q113" s="1723"/>
      <c r="R113" s="1724"/>
      <c r="S113" s="3220"/>
      <c r="U113" s="1727">
        <f>M113/12-C113</f>
        <v>7</v>
      </c>
      <c r="V113" s="2048">
        <f>N113-D113/14</f>
        <v>0</v>
      </c>
      <c r="W113" s="1727">
        <f t="shared" ref="W113:W120" si="36">O113-E113</f>
        <v>34883.999999999985</v>
      </c>
      <c r="X113" s="1743">
        <f t="shared" ref="X113:X120" si="37">P113-F113</f>
        <v>6156</v>
      </c>
      <c r="Y113" s="1728">
        <f t="shared" ref="Y113:Y120" si="38">Q113-G113</f>
        <v>0</v>
      </c>
      <c r="Z113" s="1769">
        <f t="shared" si="35"/>
        <v>0</v>
      </c>
      <c r="AA113" s="1770">
        <f t="shared" si="32"/>
        <v>0</v>
      </c>
      <c r="AO113" s="1777"/>
    </row>
    <row r="114" spans="1:47" x14ac:dyDescent="0.2">
      <c r="A114" s="1719"/>
      <c r="B114" s="1774" t="s">
        <v>145</v>
      </c>
      <c r="C114" s="1775">
        <v>12</v>
      </c>
      <c r="D114" s="2047">
        <v>4788</v>
      </c>
      <c r="E114" s="1776">
        <f t="shared" si="33"/>
        <v>48837.599999999999</v>
      </c>
      <c r="F114" s="1776">
        <f t="shared" si="34"/>
        <v>8618.4</v>
      </c>
      <c r="G114" s="1723"/>
      <c r="H114" s="1724"/>
      <c r="I114" s="3220"/>
      <c r="K114" s="1719"/>
      <c r="L114" s="1774" t="s">
        <v>145</v>
      </c>
      <c r="M114" s="1775">
        <f>M111*14</f>
        <v>266</v>
      </c>
      <c r="N114" s="2047">
        <v>342</v>
      </c>
      <c r="O114" s="1776">
        <f>N114*M114*0.85</f>
        <v>77326.2</v>
      </c>
      <c r="P114" s="1776">
        <f>N114*M114*0.15</f>
        <v>13645.8</v>
      </c>
      <c r="Q114" s="1723"/>
      <c r="R114" s="1724"/>
      <c r="S114" s="3220"/>
      <c r="U114" s="1727">
        <f>M114/14-C114</f>
        <v>7</v>
      </c>
      <c r="V114" s="2048">
        <f>N114-D114/14</f>
        <v>0</v>
      </c>
      <c r="W114" s="1727">
        <f t="shared" si="36"/>
        <v>28488.6</v>
      </c>
      <c r="X114" s="1743">
        <f t="shared" si="37"/>
        <v>5027.3999999999996</v>
      </c>
      <c r="Y114" s="1728">
        <f t="shared" si="38"/>
        <v>0</v>
      </c>
      <c r="Z114" s="1769">
        <f t="shared" si="35"/>
        <v>0</v>
      </c>
      <c r="AA114" s="1770">
        <f t="shared" si="32"/>
        <v>0</v>
      </c>
      <c r="AU114" s="1777"/>
    </row>
    <row r="115" spans="1:47" x14ac:dyDescent="0.2">
      <c r="A115" s="1719"/>
      <c r="B115" s="1774" t="s">
        <v>146</v>
      </c>
      <c r="C115" s="1775">
        <v>12</v>
      </c>
      <c r="D115" s="2047">
        <v>760</v>
      </c>
      <c r="E115" s="1776">
        <f t="shared" si="33"/>
        <v>7752</v>
      </c>
      <c r="F115" s="1776">
        <f t="shared" si="34"/>
        <v>1368</v>
      </c>
      <c r="G115" s="1723"/>
      <c r="H115" s="1724"/>
      <c r="I115" s="3220"/>
      <c r="K115" s="1719"/>
      <c r="L115" s="1774" t="s">
        <v>146</v>
      </c>
      <c r="M115" s="1775">
        <v>19</v>
      </c>
      <c r="N115" s="2047">
        <v>760</v>
      </c>
      <c r="O115" s="1776">
        <f>N115*M115</f>
        <v>14440</v>
      </c>
      <c r="P115" s="1776"/>
      <c r="Q115" s="1723"/>
      <c r="R115" s="1724"/>
      <c r="S115" s="3220"/>
      <c r="U115" s="1727">
        <f t="shared" ref="U115:V120" si="39">M115-C115</f>
        <v>7</v>
      </c>
      <c r="V115" s="1727">
        <f t="shared" si="39"/>
        <v>0</v>
      </c>
      <c r="W115" s="1727">
        <f t="shared" si="36"/>
        <v>6688</v>
      </c>
      <c r="X115" s="1743">
        <f t="shared" si="37"/>
        <v>-1368</v>
      </c>
      <c r="Y115" s="1728">
        <f t="shared" si="38"/>
        <v>0</v>
      </c>
      <c r="Z115" s="1769">
        <f t="shared" si="35"/>
        <v>0</v>
      </c>
      <c r="AA115" s="1770">
        <f t="shared" si="32"/>
        <v>0</v>
      </c>
    </row>
    <row r="116" spans="1:47" x14ac:dyDescent="0.2">
      <c r="A116" s="1719"/>
      <c r="B116" s="1774" t="s">
        <v>147</v>
      </c>
      <c r="C116" s="1775">
        <v>12</v>
      </c>
      <c r="D116" s="2047">
        <v>1596</v>
      </c>
      <c r="E116" s="1776">
        <f t="shared" si="33"/>
        <v>16279.199999999999</v>
      </c>
      <c r="F116" s="1776">
        <f t="shared" si="34"/>
        <v>2872.7999999999997</v>
      </c>
      <c r="G116" s="1723"/>
      <c r="H116" s="1724"/>
      <c r="I116" s="3220"/>
      <c r="K116" s="1719"/>
      <c r="L116" s="1774" t="s">
        <v>147</v>
      </c>
      <c r="M116" s="1775">
        <v>19</v>
      </c>
      <c r="N116" s="2047">
        <v>1596</v>
      </c>
      <c r="O116" s="1776">
        <f>N116*M116</f>
        <v>30324</v>
      </c>
      <c r="P116" s="1776"/>
      <c r="Q116" s="1723"/>
      <c r="R116" s="1724"/>
      <c r="S116" s="3220"/>
      <c r="U116" s="1727">
        <f t="shared" si="39"/>
        <v>7</v>
      </c>
      <c r="V116" s="1727">
        <f t="shared" si="39"/>
        <v>0</v>
      </c>
      <c r="W116" s="1727">
        <f t="shared" si="36"/>
        <v>14044.800000000001</v>
      </c>
      <c r="X116" s="1743">
        <f t="shared" si="37"/>
        <v>-2872.7999999999997</v>
      </c>
      <c r="Y116" s="1728">
        <f t="shared" si="38"/>
        <v>0</v>
      </c>
      <c r="Z116" s="1769">
        <f t="shared" si="35"/>
        <v>0</v>
      </c>
      <c r="AA116" s="1770">
        <f t="shared" si="32"/>
        <v>0</v>
      </c>
      <c r="AM116" s="1777"/>
    </row>
    <row r="117" spans="1:47" ht="38.25" x14ac:dyDescent="0.2">
      <c r="A117" s="1719"/>
      <c r="B117" s="1774" t="s">
        <v>851</v>
      </c>
      <c r="C117" s="1775">
        <v>12</v>
      </c>
      <c r="D117" s="2047">
        <f>1140+9500+950</f>
        <v>11590</v>
      </c>
      <c r="E117" s="1776">
        <f t="shared" si="33"/>
        <v>118218</v>
      </c>
      <c r="F117" s="1776">
        <f t="shared" si="34"/>
        <v>20862</v>
      </c>
      <c r="G117" s="1723"/>
      <c r="H117" s="1724"/>
      <c r="I117" s="3220"/>
      <c r="K117" s="1719"/>
      <c r="L117" s="1774" t="s">
        <v>851</v>
      </c>
      <c r="M117" s="1775">
        <v>19</v>
      </c>
      <c r="N117" s="2047">
        <f>1140+9500+950</f>
        <v>11590</v>
      </c>
      <c r="O117" s="1776">
        <f>N117*M117</f>
        <v>220210</v>
      </c>
      <c r="P117" s="1776"/>
      <c r="Q117" s="1723"/>
      <c r="R117" s="1724"/>
      <c r="S117" s="3220"/>
      <c r="U117" s="1727">
        <f t="shared" si="39"/>
        <v>7</v>
      </c>
      <c r="V117" s="1727">
        <f t="shared" si="39"/>
        <v>0</v>
      </c>
      <c r="W117" s="1727">
        <f t="shared" si="36"/>
        <v>101992</v>
      </c>
      <c r="X117" s="1743">
        <f t="shared" si="37"/>
        <v>-20862</v>
      </c>
      <c r="Y117" s="1728">
        <f t="shared" si="38"/>
        <v>0</v>
      </c>
      <c r="Z117" s="1769">
        <f t="shared" si="35"/>
        <v>0</v>
      </c>
      <c r="AA117" s="1770">
        <f t="shared" si="32"/>
        <v>0</v>
      </c>
      <c r="AK117" s="1777"/>
    </row>
    <row r="118" spans="1:47" x14ac:dyDescent="0.2">
      <c r="A118" s="1719"/>
      <c r="B118" s="1774" t="s">
        <v>148</v>
      </c>
      <c r="C118" s="1775">
        <f>12</f>
        <v>12</v>
      </c>
      <c r="D118" s="2047">
        <v>2280</v>
      </c>
      <c r="E118" s="1776">
        <f t="shared" si="33"/>
        <v>23256</v>
      </c>
      <c r="F118" s="1776">
        <f t="shared" si="34"/>
        <v>4104</v>
      </c>
      <c r="G118" s="1723"/>
      <c r="H118" s="1724"/>
      <c r="I118" s="3220"/>
      <c r="K118" s="1719"/>
      <c r="L118" s="1774" t="s">
        <v>148</v>
      </c>
      <c r="M118" s="1775">
        <v>19</v>
      </c>
      <c r="N118" s="2047">
        <v>2280</v>
      </c>
      <c r="O118" s="1776">
        <f>N118*M118</f>
        <v>43320</v>
      </c>
      <c r="P118" s="1776"/>
      <c r="Q118" s="1723"/>
      <c r="R118" s="1724"/>
      <c r="S118" s="3220"/>
      <c r="U118" s="1727">
        <f t="shared" si="39"/>
        <v>7</v>
      </c>
      <c r="V118" s="1727">
        <f t="shared" si="39"/>
        <v>0</v>
      </c>
      <c r="W118" s="1727">
        <f t="shared" si="36"/>
        <v>20064</v>
      </c>
      <c r="X118" s="1743">
        <f t="shared" si="37"/>
        <v>-4104</v>
      </c>
      <c r="Y118" s="1728">
        <f t="shared" si="38"/>
        <v>0</v>
      </c>
      <c r="Z118" s="1769">
        <f t="shared" si="35"/>
        <v>0</v>
      </c>
      <c r="AA118" s="1770">
        <f t="shared" si="32"/>
        <v>0</v>
      </c>
      <c r="AN118" s="1777"/>
    </row>
    <row r="119" spans="1:47" x14ac:dyDescent="0.2">
      <c r="A119" s="1719"/>
      <c r="B119" s="2046" t="s">
        <v>149</v>
      </c>
      <c r="C119" s="1775"/>
      <c r="D119" s="2047"/>
      <c r="E119" s="1776"/>
      <c r="F119" s="1776"/>
      <c r="G119" s="1723"/>
      <c r="H119" s="1724"/>
      <c r="I119" s="3220"/>
      <c r="K119" s="1719"/>
      <c r="L119" s="2046" t="s">
        <v>149</v>
      </c>
      <c r="M119" s="1775"/>
      <c r="N119" s="2047"/>
      <c r="O119" s="1776"/>
      <c r="P119" s="1776"/>
      <c r="Q119" s="1723"/>
      <c r="R119" s="1724"/>
      <c r="S119" s="3220"/>
      <c r="U119" s="1727">
        <f t="shared" si="39"/>
        <v>0</v>
      </c>
      <c r="V119" s="1727">
        <f t="shared" si="39"/>
        <v>0</v>
      </c>
      <c r="W119" s="1727">
        <f t="shared" si="36"/>
        <v>0</v>
      </c>
      <c r="X119" s="1743">
        <f t="shared" si="37"/>
        <v>0</v>
      </c>
      <c r="Y119" s="1728">
        <f t="shared" si="38"/>
        <v>0</v>
      </c>
      <c r="Z119" s="1769">
        <f t="shared" si="35"/>
        <v>0</v>
      </c>
      <c r="AA119" s="1770">
        <f t="shared" si="32"/>
        <v>0</v>
      </c>
      <c r="AN119" s="1777"/>
    </row>
    <row r="120" spans="1:47" ht="25.5" x14ac:dyDescent="0.2">
      <c r="A120" s="1719"/>
      <c r="B120" s="1774" t="s">
        <v>150</v>
      </c>
      <c r="C120" s="1775">
        <v>12</v>
      </c>
      <c r="D120" s="2047">
        <v>6000</v>
      </c>
      <c r="E120" s="1776">
        <f>D120*C120*0.85</f>
        <v>61200</v>
      </c>
      <c r="F120" s="1776">
        <f>D120*C120*0.15</f>
        <v>10800</v>
      </c>
      <c r="G120" s="1723"/>
      <c r="H120" s="1724">
        <v>1</v>
      </c>
      <c r="I120" s="2049">
        <f>D120*C120</f>
        <v>72000</v>
      </c>
      <c r="K120" s="1719"/>
      <c r="L120" s="1774" t="s">
        <v>150</v>
      </c>
      <c r="M120" s="1775">
        <v>19</v>
      </c>
      <c r="N120" s="2047">
        <v>6000</v>
      </c>
      <c r="O120" s="1776">
        <f>N120*M120*0.85</f>
        <v>96900</v>
      </c>
      <c r="P120" s="1776">
        <f>N120*M120*0.15</f>
        <v>17100</v>
      </c>
      <c r="Q120" s="1723"/>
      <c r="R120" s="1724">
        <v>1</v>
      </c>
      <c r="S120" s="2049">
        <f>N120*M120</f>
        <v>114000</v>
      </c>
      <c r="U120" s="1727">
        <f t="shared" si="39"/>
        <v>7</v>
      </c>
      <c r="V120" s="1727">
        <f t="shared" si="39"/>
        <v>0</v>
      </c>
      <c r="W120" s="1727">
        <f t="shared" si="36"/>
        <v>35700</v>
      </c>
      <c r="X120" s="1743">
        <f t="shared" si="37"/>
        <v>6300</v>
      </c>
      <c r="Y120" s="1728">
        <f t="shared" si="38"/>
        <v>0</v>
      </c>
      <c r="Z120" s="1769">
        <f t="shared" si="35"/>
        <v>0</v>
      </c>
      <c r="AA120" s="1770">
        <f t="shared" si="32"/>
        <v>42000</v>
      </c>
    </row>
    <row r="121" spans="1:47" s="1971" customFormat="1" ht="13.5" thickBot="1" x14ac:dyDescent="0.25">
      <c r="A121" s="200"/>
      <c r="B121" s="1895" t="s">
        <v>13</v>
      </c>
      <c r="C121" s="1896"/>
      <c r="D121" s="1896"/>
      <c r="E121" s="1896">
        <f>SUM(E111:E120)</f>
        <v>420311.4</v>
      </c>
      <c r="F121" s="1896">
        <f>SUM(F111:F120)</f>
        <v>74172.600000000006</v>
      </c>
      <c r="G121" s="1896">
        <f>SUM(G111:G120)</f>
        <v>0</v>
      </c>
      <c r="H121" s="1896"/>
      <c r="I121" s="1896">
        <f>SUM(I111:I120)</f>
        <v>680000</v>
      </c>
      <c r="J121" s="1731"/>
      <c r="K121" s="200"/>
      <c r="L121" s="2809" t="s">
        <v>13</v>
      </c>
      <c r="M121" s="1895"/>
      <c r="N121" s="1895"/>
      <c r="O121" s="1895">
        <f>SUM(O111:O120)</f>
        <v>689643.95</v>
      </c>
      <c r="P121" s="1895">
        <f>SUM(P111:P120)</f>
        <v>67297.05</v>
      </c>
      <c r="Q121" s="1896">
        <f>SUM(Q111:Q120)</f>
        <v>0</v>
      </c>
      <c r="R121" s="1896"/>
      <c r="S121" s="1896">
        <f>SUM(S111:S120)</f>
        <v>1000000</v>
      </c>
      <c r="U121" s="1781"/>
      <c r="V121" s="1781"/>
      <c r="W121" s="1782">
        <f>SUM(W110:W120)</f>
        <v>269332.55</v>
      </c>
      <c r="X121" s="1782">
        <f>SUM(X110:X120)</f>
        <v>-6875.5499999999993</v>
      </c>
      <c r="Y121" s="1782">
        <f>SUM(Y110:Y120)</f>
        <v>0</v>
      </c>
      <c r="Z121" s="1782"/>
      <c r="AA121" s="1782">
        <f>SUM(AA110:AA120)</f>
        <v>320000</v>
      </c>
    </row>
    <row r="122" spans="1:47" s="1971" customFormat="1" x14ac:dyDescent="0.2">
      <c r="A122" s="1871"/>
      <c r="B122" s="1745" t="s">
        <v>151</v>
      </c>
      <c r="C122" s="1731"/>
      <c r="D122" s="1731"/>
      <c r="E122" s="1731"/>
      <c r="F122" s="1930">
        <f>E121-[2]צרפת!$E$135</f>
        <v>0</v>
      </c>
      <c r="G122" s="1731"/>
      <c r="H122" s="1731"/>
      <c r="I122" s="1731"/>
      <c r="J122" s="1731"/>
      <c r="L122" s="2050" t="s">
        <v>602</v>
      </c>
      <c r="O122" s="1985">
        <f>O121-[2]צרפת!$O$135</f>
        <v>4548.5999999998603</v>
      </c>
      <c r="P122" s="2015"/>
      <c r="U122" s="1726"/>
      <c r="V122" s="1726"/>
      <c r="W122" s="1726"/>
      <c r="X122" s="1726"/>
      <c r="Y122" s="1726"/>
      <c r="Z122" s="1726"/>
      <c r="AA122" s="1726"/>
    </row>
    <row r="123" spans="1:47" x14ac:dyDescent="0.2">
      <c r="A123" s="1871"/>
      <c r="B123" s="2051" t="s">
        <v>152</v>
      </c>
      <c r="L123" s="2948" t="s">
        <v>900</v>
      </c>
      <c r="M123" s="2948"/>
      <c r="N123" s="2948"/>
      <c r="O123" s="2948"/>
      <c r="P123" s="2949"/>
      <c r="U123" s="1726"/>
      <c r="V123" s="1726"/>
      <c r="W123" s="1726"/>
      <c r="X123" s="1726"/>
      <c r="Y123" s="1726"/>
      <c r="Z123" s="1726"/>
      <c r="AA123" s="1726"/>
    </row>
    <row r="124" spans="1:47" ht="13.5" thickBot="1" x14ac:dyDescent="0.25">
      <c r="A124" s="1871"/>
      <c r="B124" s="2051"/>
      <c r="U124" s="1726"/>
      <c r="V124" s="1726"/>
      <c r="W124" s="1726"/>
      <c r="X124" s="1726"/>
      <c r="Y124" s="1726"/>
      <c r="Z124" s="1726"/>
      <c r="AA124" s="1726"/>
    </row>
    <row r="125" spans="1:47" ht="25.5" customHeight="1" x14ac:dyDescent="0.2">
      <c r="A125" s="182">
        <v>7</v>
      </c>
      <c r="B125" s="1936" t="s">
        <v>74</v>
      </c>
      <c r="C125" s="3216" t="s">
        <v>104</v>
      </c>
      <c r="D125" s="3216"/>
      <c r="E125" s="3216"/>
      <c r="F125" s="1937"/>
      <c r="G125" s="1938"/>
      <c r="H125" s="3217" t="s">
        <v>88</v>
      </c>
      <c r="I125" s="3218"/>
      <c r="J125" s="1881"/>
      <c r="K125" s="283">
        <v>7</v>
      </c>
      <c r="L125" s="2882" t="s">
        <v>74</v>
      </c>
      <c r="M125" s="3207" t="s">
        <v>812</v>
      </c>
      <c r="N125" s="3208"/>
      <c r="O125" s="3209"/>
      <c r="P125" s="2883"/>
      <c r="Q125" s="1938"/>
      <c r="R125" s="3217" t="s">
        <v>88</v>
      </c>
      <c r="S125" s="3218"/>
      <c r="U125" s="3216" t="s">
        <v>506</v>
      </c>
      <c r="V125" s="3216"/>
      <c r="W125" s="3216"/>
      <c r="X125" s="1937"/>
      <c r="Y125" s="1939"/>
      <c r="Z125" s="3217" t="s">
        <v>88</v>
      </c>
      <c r="AA125" s="3218"/>
    </row>
    <row r="126" spans="1:47" ht="38.25" x14ac:dyDescent="0.2">
      <c r="A126" s="185"/>
      <c r="B126" s="590" t="s">
        <v>89</v>
      </c>
      <c r="C126" s="1831" t="s">
        <v>54</v>
      </c>
      <c r="D126" s="590" t="s">
        <v>91</v>
      </c>
      <c r="E126" s="590" t="s">
        <v>153</v>
      </c>
      <c r="F126" s="590" t="s">
        <v>106</v>
      </c>
      <c r="G126" s="1723"/>
      <c r="H126" s="1831" t="s">
        <v>54</v>
      </c>
      <c r="I126" s="1909" t="s">
        <v>92</v>
      </c>
      <c r="K126" s="284"/>
      <c r="L126" s="2884" t="s">
        <v>89</v>
      </c>
      <c r="M126" s="590" t="s">
        <v>54</v>
      </c>
      <c r="N126" s="590" t="s">
        <v>91</v>
      </c>
      <c r="O126" s="590" t="s">
        <v>105</v>
      </c>
      <c r="P126" s="590" t="s">
        <v>106</v>
      </c>
      <c r="Q126" s="1723"/>
      <c r="R126" s="1831" t="s">
        <v>54</v>
      </c>
      <c r="S126" s="1909" t="s">
        <v>92</v>
      </c>
      <c r="U126" s="590" t="s">
        <v>90</v>
      </c>
      <c r="V126" s="590" t="s">
        <v>91</v>
      </c>
      <c r="W126" s="1830" t="s">
        <v>507</v>
      </c>
      <c r="X126" s="590"/>
      <c r="Y126" s="1766"/>
      <c r="Z126" s="1831" t="s">
        <v>54</v>
      </c>
      <c r="AA126" s="1832" t="s">
        <v>507</v>
      </c>
    </row>
    <row r="127" spans="1:47" s="1871" customFormat="1" x14ac:dyDescent="0.2">
      <c r="A127" s="1719"/>
      <c r="B127" s="2052" t="s">
        <v>154</v>
      </c>
      <c r="C127" s="2053">
        <v>1</v>
      </c>
      <c r="D127" s="2054"/>
      <c r="E127" s="2055"/>
      <c r="F127" s="2055"/>
      <c r="G127" s="1869"/>
      <c r="H127" s="2055" t="s">
        <v>155</v>
      </c>
      <c r="I127" s="2056"/>
      <c r="J127" s="1731"/>
      <c r="K127" s="2085"/>
      <c r="L127" s="2885" t="s">
        <v>154</v>
      </c>
      <c r="M127" s="557">
        <v>1</v>
      </c>
      <c r="N127" s="1899"/>
      <c r="O127" s="1899"/>
      <c r="P127" s="1899"/>
      <c r="Q127" s="1869"/>
      <c r="R127" s="2055" t="s">
        <v>155</v>
      </c>
      <c r="S127" s="2056"/>
      <c r="U127" s="1743">
        <f t="shared" ref="U127:Y132" si="40">M127-C127</f>
        <v>0</v>
      </c>
      <c r="V127" s="1743">
        <f t="shared" si="40"/>
        <v>0</v>
      </c>
      <c r="W127" s="1743">
        <f t="shared" si="40"/>
        <v>0</v>
      </c>
      <c r="X127" s="1743">
        <f t="shared" si="40"/>
        <v>0</v>
      </c>
      <c r="Y127" s="1744">
        <f t="shared" si="40"/>
        <v>0</v>
      </c>
      <c r="Z127" s="2057"/>
      <c r="AA127" s="2058">
        <f t="shared" ref="AA127:AA137" si="41">S127-I127</f>
        <v>0</v>
      </c>
    </row>
    <row r="128" spans="1:47" x14ac:dyDescent="0.2">
      <c r="A128" s="1719"/>
      <c r="B128" s="253" t="s">
        <v>156</v>
      </c>
      <c r="C128" s="2059">
        <v>12</v>
      </c>
      <c r="D128" s="2060">
        <f>4500*J2</f>
        <v>21600</v>
      </c>
      <c r="E128" s="2061">
        <f>D128*C128*0.85</f>
        <v>220320</v>
      </c>
      <c r="F128" s="2061">
        <f>D128*C128*0.15</f>
        <v>38880</v>
      </c>
      <c r="G128" s="1723"/>
      <c r="H128" s="1724"/>
      <c r="I128" s="2062">
        <f>180000-F128</f>
        <v>141120</v>
      </c>
      <c r="K128" s="2085"/>
      <c r="L128" s="2886" t="s">
        <v>156</v>
      </c>
      <c r="M128" s="2059">
        <v>14</v>
      </c>
      <c r="N128" s="2059">
        <v>21600</v>
      </c>
      <c r="O128" s="2059">
        <f>+N128*M128*0.85</f>
        <v>257040</v>
      </c>
      <c r="P128" s="1903">
        <f>N128*M128*0.15</f>
        <v>45360</v>
      </c>
      <c r="Q128" s="1723"/>
      <c r="R128" s="1724"/>
      <c r="S128" s="2062">
        <f>180000-P128</f>
        <v>134640</v>
      </c>
      <c r="U128" s="1743">
        <f t="shared" si="40"/>
        <v>2</v>
      </c>
      <c r="V128" s="1743">
        <f t="shared" si="40"/>
        <v>0</v>
      </c>
      <c r="W128" s="1743">
        <f t="shared" si="40"/>
        <v>36720</v>
      </c>
      <c r="X128" s="1743">
        <f t="shared" si="40"/>
        <v>6480</v>
      </c>
      <c r="Y128" s="1728">
        <f t="shared" si="40"/>
        <v>0</v>
      </c>
      <c r="Z128" s="1769">
        <f t="shared" ref="Z128:Z137" si="42">R128-H128</f>
        <v>0</v>
      </c>
      <c r="AA128" s="1770">
        <f t="shared" si="41"/>
        <v>-6480</v>
      </c>
      <c r="AM128" s="2063"/>
    </row>
    <row r="129" spans="1:47" ht="61.5" customHeight="1" x14ac:dyDescent="0.2">
      <c r="A129" s="1719"/>
      <c r="B129" s="258" t="s">
        <v>157</v>
      </c>
      <c r="C129" s="2059">
        <v>12</v>
      </c>
      <c r="D129" s="1776">
        <f>1000*J2</f>
        <v>4800</v>
      </c>
      <c r="E129" s="2061">
        <f>D129*C129*0.85</f>
        <v>48960</v>
      </c>
      <c r="F129" s="2061">
        <f>D129*C129*0.15</f>
        <v>8640</v>
      </c>
      <c r="G129" s="1723"/>
      <c r="H129" s="1724"/>
      <c r="I129" s="2062">
        <f>190000-F129</f>
        <v>181360</v>
      </c>
      <c r="K129" s="2085"/>
      <c r="L129" s="2887" t="s">
        <v>157</v>
      </c>
      <c r="M129" s="2059">
        <v>14</v>
      </c>
      <c r="N129" s="2059">
        <v>4800</v>
      </c>
      <c r="O129" s="2059">
        <f>N129*M129*0.85</f>
        <v>57120</v>
      </c>
      <c r="P129" s="2064">
        <f>N129*M129*0.15</f>
        <v>10080</v>
      </c>
      <c r="Q129" s="1723"/>
      <c r="R129" s="1724"/>
      <c r="S129" s="2062">
        <f>190000-P129</f>
        <v>179920</v>
      </c>
      <c r="U129" s="1727">
        <f t="shared" si="40"/>
        <v>2</v>
      </c>
      <c r="V129" s="1727">
        <f t="shared" si="40"/>
        <v>0</v>
      </c>
      <c r="W129" s="1727">
        <f t="shared" si="40"/>
        <v>8160</v>
      </c>
      <c r="X129" s="1743">
        <f t="shared" si="40"/>
        <v>1440</v>
      </c>
      <c r="Y129" s="1728">
        <f t="shared" si="40"/>
        <v>0</v>
      </c>
      <c r="Z129" s="1769">
        <f t="shared" si="42"/>
        <v>0</v>
      </c>
      <c r="AA129" s="1770">
        <f t="shared" si="41"/>
        <v>-1440</v>
      </c>
      <c r="AU129" s="1930"/>
    </row>
    <row r="130" spans="1:47" s="1881" customFormat="1" x14ac:dyDescent="0.2">
      <c r="A130" s="1719"/>
      <c r="B130" s="258"/>
      <c r="C130" s="2059"/>
      <c r="D130" s="1776"/>
      <c r="E130" s="2061">
        <f t="shared" ref="E130:E137" si="43">D130*C130</f>
        <v>0</v>
      </c>
      <c r="F130" s="1724"/>
      <c r="G130" s="1723"/>
      <c r="H130" s="1724"/>
      <c r="I130" s="1725"/>
      <c r="J130" s="1731"/>
      <c r="K130" s="2085"/>
      <c r="L130" s="2887"/>
      <c r="M130" s="2059"/>
      <c r="N130" s="2059"/>
      <c r="O130" s="2059"/>
      <c r="P130" s="1740"/>
      <c r="Q130" s="1723"/>
      <c r="R130" s="1724"/>
      <c r="S130" s="1725"/>
      <c r="U130" s="1727">
        <f t="shared" si="40"/>
        <v>0</v>
      </c>
      <c r="V130" s="1727">
        <f t="shared" si="40"/>
        <v>0</v>
      </c>
      <c r="W130" s="1727">
        <f t="shared" si="40"/>
        <v>0</v>
      </c>
      <c r="X130" s="1743">
        <f t="shared" si="40"/>
        <v>0</v>
      </c>
      <c r="Y130" s="1728">
        <f t="shared" si="40"/>
        <v>0</v>
      </c>
      <c r="Z130" s="1769">
        <f t="shared" si="42"/>
        <v>0</v>
      </c>
      <c r="AA130" s="1770">
        <f t="shared" si="41"/>
        <v>0</v>
      </c>
      <c r="AF130" s="1994"/>
      <c r="AG130" s="1994"/>
      <c r="AH130" s="1994"/>
    </row>
    <row r="131" spans="1:47" s="1726" customFormat="1" x14ac:dyDescent="0.2">
      <c r="A131" s="1719"/>
      <c r="B131" s="258" t="s">
        <v>158</v>
      </c>
      <c r="C131" s="2059">
        <v>12</v>
      </c>
      <c r="D131" s="2065">
        <v>7200</v>
      </c>
      <c r="E131" s="2061">
        <f t="shared" si="43"/>
        <v>86400</v>
      </c>
      <c r="F131" s="1724"/>
      <c r="G131" s="1723"/>
      <c r="H131" s="1724"/>
      <c r="I131" s="1725"/>
      <c r="J131" s="1731"/>
      <c r="K131" s="2085"/>
      <c r="L131" s="2887" t="s">
        <v>158</v>
      </c>
      <c r="M131" s="2059">
        <v>19</v>
      </c>
      <c r="N131" s="2059">
        <v>7200</v>
      </c>
      <c r="O131" s="2059">
        <f t="shared" ref="O131:O137" si="44">N131*M131</f>
        <v>136800</v>
      </c>
      <c r="P131" s="1740"/>
      <c r="Q131" s="1723"/>
      <c r="R131" s="1724"/>
      <c r="S131" s="1725"/>
      <c r="U131" s="1727">
        <f t="shared" si="40"/>
        <v>7</v>
      </c>
      <c r="V131" s="1727">
        <f t="shared" si="40"/>
        <v>0</v>
      </c>
      <c r="W131" s="1727">
        <f t="shared" si="40"/>
        <v>50400</v>
      </c>
      <c r="X131" s="1743">
        <f t="shared" si="40"/>
        <v>0</v>
      </c>
      <c r="Y131" s="1728">
        <f t="shared" si="40"/>
        <v>0</v>
      </c>
      <c r="Z131" s="1769">
        <f t="shared" si="42"/>
        <v>0</v>
      </c>
      <c r="AA131" s="1770">
        <f t="shared" si="41"/>
        <v>0</v>
      </c>
      <c r="AQ131" s="1984"/>
    </row>
    <row r="132" spans="1:47" ht="51" x14ac:dyDescent="0.2">
      <c r="A132" s="1719"/>
      <c r="B132" s="258" t="s">
        <v>159</v>
      </c>
      <c r="C132" s="2059">
        <v>25</v>
      </c>
      <c r="D132" s="2066">
        <f>800*J1</f>
        <v>3040</v>
      </c>
      <c r="E132" s="2061">
        <f t="shared" si="43"/>
        <v>76000</v>
      </c>
      <c r="F132" s="1724"/>
      <c r="G132" s="1723"/>
      <c r="H132" s="1724"/>
      <c r="I132" s="1725"/>
      <c r="K132" s="2085"/>
      <c r="L132" s="2887" t="s">
        <v>159</v>
      </c>
      <c r="M132" s="2059">
        <v>25</v>
      </c>
      <c r="N132" s="2059">
        <v>3040</v>
      </c>
      <c r="O132" s="2059">
        <f t="shared" si="44"/>
        <v>76000</v>
      </c>
      <c r="P132" s="1740"/>
      <c r="Q132" s="1723"/>
      <c r="R132" s="1724"/>
      <c r="S132" s="1725"/>
      <c r="U132" s="1727">
        <f t="shared" si="40"/>
        <v>0</v>
      </c>
      <c r="V132" s="1727">
        <f t="shared" si="40"/>
        <v>0</v>
      </c>
      <c r="W132" s="1727">
        <f t="shared" si="40"/>
        <v>0</v>
      </c>
      <c r="X132" s="1743">
        <f t="shared" si="40"/>
        <v>0</v>
      </c>
      <c r="Y132" s="1728">
        <f t="shared" si="40"/>
        <v>0</v>
      </c>
      <c r="Z132" s="1769">
        <f t="shared" si="42"/>
        <v>0</v>
      </c>
      <c r="AA132" s="1770">
        <f t="shared" si="41"/>
        <v>0</v>
      </c>
      <c r="AU132" s="1930"/>
    </row>
    <row r="133" spans="1:47" s="1726" customFormat="1" ht="25.5" x14ac:dyDescent="0.2">
      <c r="A133" s="1719"/>
      <c r="B133" s="258" t="s">
        <v>160</v>
      </c>
      <c r="C133" s="2059">
        <v>25</v>
      </c>
      <c r="D133" s="2065">
        <f>14*(175*J1)</f>
        <v>9310</v>
      </c>
      <c r="E133" s="2061">
        <f t="shared" si="43"/>
        <v>232750</v>
      </c>
      <c r="F133" s="1724"/>
      <c r="G133" s="1723"/>
      <c r="H133" s="1724"/>
      <c r="I133" s="1725"/>
      <c r="J133" s="1731"/>
      <c r="K133" s="2085"/>
      <c r="L133" s="2887" t="s">
        <v>160</v>
      </c>
      <c r="M133" s="2059">
        <v>350</v>
      </c>
      <c r="N133" s="2059">
        <f>175*$J$1</f>
        <v>665</v>
      </c>
      <c r="O133" s="2059">
        <f t="shared" si="44"/>
        <v>232750</v>
      </c>
      <c r="P133" s="1740"/>
      <c r="Q133" s="1723"/>
      <c r="R133" s="1724"/>
      <c r="S133" s="1725"/>
      <c r="U133" s="1727">
        <f>M133-C133</f>
        <v>325</v>
      </c>
      <c r="V133" s="1727">
        <f>N133-D133/14</f>
        <v>0</v>
      </c>
      <c r="W133" s="1727">
        <f t="shared" ref="W133:Y137" si="45">O133-E133</f>
        <v>0</v>
      </c>
      <c r="X133" s="1743">
        <f t="shared" si="45"/>
        <v>0</v>
      </c>
      <c r="Y133" s="1728">
        <f t="shared" si="45"/>
        <v>0</v>
      </c>
      <c r="Z133" s="1769">
        <f t="shared" si="42"/>
        <v>0</v>
      </c>
      <c r="AA133" s="1770">
        <f t="shared" si="41"/>
        <v>0</v>
      </c>
      <c r="AG133" s="1984"/>
      <c r="AH133" s="1984"/>
    </row>
    <row r="134" spans="1:47" s="1726" customFormat="1" ht="25.5" x14ac:dyDescent="0.2">
      <c r="A134" s="1719"/>
      <c r="B134" s="258" t="s">
        <v>161</v>
      </c>
      <c r="C134" s="2059">
        <v>25</v>
      </c>
      <c r="D134" s="2065">
        <f>13*(180*J1)</f>
        <v>8892</v>
      </c>
      <c r="E134" s="2061">
        <f t="shared" si="43"/>
        <v>222300</v>
      </c>
      <c r="F134" s="1724"/>
      <c r="G134" s="1723"/>
      <c r="H134" s="1724"/>
      <c r="I134" s="1725"/>
      <c r="J134" s="1731"/>
      <c r="K134" s="2085"/>
      <c r="L134" s="2887" t="s">
        <v>161</v>
      </c>
      <c r="M134" s="2059">
        <v>325</v>
      </c>
      <c r="N134" s="2059">
        <v>684</v>
      </c>
      <c r="O134" s="2059">
        <f t="shared" si="44"/>
        <v>222300</v>
      </c>
      <c r="P134" s="1740"/>
      <c r="Q134" s="1723"/>
      <c r="R134" s="1724"/>
      <c r="S134" s="1725"/>
      <c r="U134" s="1727">
        <f>M134-C134</f>
        <v>300</v>
      </c>
      <c r="V134" s="2048">
        <f>N134-D134/13</f>
        <v>0</v>
      </c>
      <c r="W134" s="1727">
        <f t="shared" si="45"/>
        <v>0</v>
      </c>
      <c r="X134" s="1743">
        <f t="shared" si="45"/>
        <v>0</v>
      </c>
      <c r="Y134" s="1728">
        <f t="shared" si="45"/>
        <v>0</v>
      </c>
      <c r="Z134" s="1769">
        <f t="shared" si="42"/>
        <v>0</v>
      </c>
      <c r="AA134" s="1770">
        <f t="shared" si="41"/>
        <v>0</v>
      </c>
      <c r="AG134" s="1984"/>
      <c r="AH134" s="1984"/>
    </row>
    <row r="135" spans="1:47" s="1726" customFormat="1" ht="51" x14ac:dyDescent="0.2">
      <c r="A135" s="1719"/>
      <c r="B135" s="258" t="s">
        <v>162</v>
      </c>
      <c r="C135" s="2059">
        <v>25</v>
      </c>
      <c r="D135" s="2065">
        <f>14*(75*J1)</f>
        <v>3990</v>
      </c>
      <c r="E135" s="2061">
        <f t="shared" si="43"/>
        <v>99750</v>
      </c>
      <c r="F135" s="1724"/>
      <c r="G135" s="1723"/>
      <c r="H135" s="1724"/>
      <c r="I135" s="1725"/>
      <c r="J135" s="1731"/>
      <c r="K135" s="2085"/>
      <c r="L135" s="2887" t="s">
        <v>162</v>
      </c>
      <c r="M135" s="2059">
        <v>350</v>
      </c>
      <c r="N135" s="2059">
        <v>285</v>
      </c>
      <c r="O135" s="2059">
        <f t="shared" si="44"/>
        <v>99750</v>
      </c>
      <c r="P135" s="1740"/>
      <c r="Q135" s="1723"/>
      <c r="R135" s="1724"/>
      <c r="S135" s="1725"/>
      <c r="U135" s="1727">
        <f>M135-C135*14</f>
        <v>0</v>
      </c>
      <c r="V135" s="1727">
        <f>N135-D135/14</f>
        <v>0</v>
      </c>
      <c r="W135" s="1727">
        <f t="shared" si="45"/>
        <v>0</v>
      </c>
      <c r="X135" s="1743">
        <f t="shared" si="45"/>
        <v>0</v>
      </c>
      <c r="Y135" s="1728">
        <f t="shared" si="45"/>
        <v>0</v>
      </c>
      <c r="Z135" s="1769">
        <f t="shared" si="42"/>
        <v>0</v>
      </c>
      <c r="AA135" s="1770">
        <f t="shared" si="41"/>
        <v>0</v>
      </c>
      <c r="AO135" s="1984"/>
    </row>
    <row r="136" spans="1:47" s="1726" customFormat="1" ht="63.75" x14ac:dyDescent="0.2">
      <c r="A136" s="1719"/>
      <c r="B136" s="258" t="s">
        <v>163</v>
      </c>
      <c r="C136" s="2059">
        <v>50</v>
      </c>
      <c r="D136" s="2067">
        <f>550*J2</f>
        <v>2640</v>
      </c>
      <c r="E136" s="2061">
        <f t="shared" si="43"/>
        <v>132000</v>
      </c>
      <c r="F136" s="1724"/>
      <c r="G136" s="1723"/>
      <c r="H136" s="1724"/>
      <c r="I136" s="1725"/>
      <c r="J136" s="1731"/>
      <c r="K136" s="2085"/>
      <c r="L136" s="2887" t="s">
        <v>603</v>
      </c>
      <c r="M136" s="2059">
        <v>75</v>
      </c>
      <c r="N136" s="2059">
        <v>2640</v>
      </c>
      <c r="O136" s="2059">
        <f t="shared" si="44"/>
        <v>198000</v>
      </c>
      <c r="P136" s="2009"/>
      <c r="Q136" s="1723"/>
      <c r="R136" s="1724"/>
      <c r="S136" s="1725"/>
      <c r="U136" s="1727">
        <f>M136-C136</f>
        <v>25</v>
      </c>
      <c r="V136" s="1727">
        <f>N136-D136</f>
        <v>0</v>
      </c>
      <c r="W136" s="1727">
        <f t="shared" si="45"/>
        <v>66000</v>
      </c>
      <c r="X136" s="1743">
        <f t="shared" si="45"/>
        <v>0</v>
      </c>
      <c r="Y136" s="1728">
        <f t="shared" si="45"/>
        <v>0</v>
      </c>
      <c r="Z136" s="1769">
        <f t="shared" si="42"/>
        <v>0</v>
      </c>
      <c r="AA136" s="1770">
        <f t="shared" si="41"/>
        <v>0</v>
      </c>
      <c r="AI136" s="1984"/>
    </row>
    <row r="137" spans="1:47" ht="89.25" x14ac:dyDescent="0.2">
      <c r="A137" s="1719"/>
      <c r="B137" s="2068" t="s">
        <v>852</v>
      </c>
      <c r="C137" s="2059">
        <v>1</v>
      </c>
      <c r="D137" s="2059">
        <v>51000</v>
      </c>
      <c r="E137" s="2059">
        <f t="shared" si="43"/>
        <v>51000</v>
      </c>
      <c r="F137" s="1724"/>
      <c r="G137" s="1723"/>
      <c r="H137" s="1724"/>
      <c r="I137" s="1725"/>
      <c r="K137" s="2085"/>
      <c r="L137" s="2888" t="s">
        <v>852</v>
      </c>
      <c r="M137" s="2059">
        <v>1</v>
      </c>
      <c r="N137" s="2059">
        <f>51000</f>
        <v>51000</v>
      </c>
      <c r="O137" s="2059">
        <f t="shared" si="44"/>
        <v>51000</v>
      </c>
      <c r="P137" s="333"/>
      <c r="Q137" s="1723"/>
      <c r="R137" s="1724"/>
      <c r="S137" s="1725"/>
      <c r="U137" s="1727">
        <f>M137-C137</f>
        <v>0</v>
      </c>
      <c r="V137" s="1727">
        <f>N137-D137</f>
        <v>0</v>
      </c>
      <c r="W137" s="1727">
        <f t="shared" si="45"/>
        <v>0</v>
      </c>
      <c r="X137" s="1743">
        <f t="shared" si="45"/>
        <v>0</v>
      </c>
      <c r="Y137" s="1728">
        <f t="shared" si="45"/>
        <v>0</v>
      </c>
      <c r="Z137" s="1769">
        <f t="shared" si="42"/>
        <v>0</v>
      </c>
      <c r="AA137" s="1770">
        <f t="shared" si="41"/>
        <v>0</v>
      </c>
      <c r="AT137" s="1930"/>
    </row>
    <row r="138" spans="1:47" s="1972" customFormat="1" ht="13.5" thickBot="1" x14ac:dyDescent="0.25">
      <c r="A138" s="200"/>
      <c r="B138" s="1895"/>
      <c r="C138" s="1896"/>
      <c r="D138" s="1896"/>
      <c r="E138" s="1896">
        <f>SUM(E127:E137)</f>
        <v>1169480</v>
      </c>
      <c r="F138" s="1896">
        <f>SUM(F127:F137)</f>
        <v>47520</v>
      </c>
      <c r="G138" s="1897"/>
      <c r="H138" s="1896"/>
      <c r="I138" s="1896">
        <f>SUM(I127:I137)</f>
        <v>322480</v>
      </c>
      <c r="J138" s="1731"/>
      <c r="K138" s="285"/>
      <c r="L138" s="2889" t="s">
        <v>818</v>
      </c>
      <c r="M138" s="2512"/>
      <c r="N138" s="2512"/>
      <c r="O138" s="1895">
        <f>SUM(O127:O137)</f>
        <v>1330760</v>
      </c>
      <c r="P138" s="1895">
        <f>SUM(P127:P137)</f>
        <v>55440</v>
      </c>
      <c r="Q138" s="1897"/>
      <c r="R138" s="1896"/>
      <c r="S138" s="1898">
        <f>SUM(S127:S137)</f>
        <v>314560</v>
      </c>
      <c r="U138" s="1781"/>
      <c r="V138" s="1781"/>
      <c r="W138" s="1782">
        <f>SUM(W128:W137)</f>
        <v>161280</v>
      </c>
      <c r="X138" s="1782">
        <f>SUM(X128:X137)</f>
        <v>7920</v>
      </c>
      <c r="Y138" s="1782">
        <f>SUM(Y131:Y137)</f>
        <v>0</v>
      </c>
      <c r="Z138" s="1782"/>
      <c r="AA138" s="1782">
        <f>SUM(AA128:AA137)</f>
        <v>-7920</v>
      </c>
    </row>
    <row r="139" spans="1:47" s="1972" customFormat="1" x14ac:dyDescent="0.2">
      <c r="A139" s="201"/>
      <c r="B139" s="2034" t="s">
        <v>165</v>
      </c>
      <c r="C139" s="1971"/>
      <c r="D139" s="1971"/>
      <c r="E139" s="2035">
        <f>-E138+[2]צרפת!$E$158</f>
        <v>0</v>
      </c>
      <c r="F139" s="2035"/>
      <c r="G139" s="2036"/>
      <c r="H139" s="1971"/>
      <c r="I139" s="1971"/>
      <c r="J139" s="1731"/>
      <c r="P139" s="2015"/>
      <c r="U139" s="1731"/>
      <c r="V139" s="1731"/>
      <c r="W139" s="1731"/>
      <c r="X139" s="1731"/>
      <c r="Y139" s="1731"/>
      <c r="Z139" s="1731"/>
      <c r="AA139" s="1731"/>
    </row>
    <row r="140" spans="1:47" s="1726" customFormat="1" ht="13.5" thickBot="1" x14ac:dyDescent="0.25">
      <c r="A140" s="201"/>
      <c r="B140" s="2070"/>
      <c r="C140" s="1971"/>
      <c r="D140" s="1971"/>
      <c r="E140" s="2035"/>
      <c r="F140" s="2035"/>
      <c r="G140" s="2036"/>
      <c r="H140" s="1971"/>
      <c r="I140" s="1971"/>
      <c r="J140" s="1731"/>
      <c r="P140" s="2016"/>
      <c r="U140" s="1731"/>
      <c r="V140" s="1731"/>
      <c r="W140" s="1731"/>
      <c r="X140" s="1731"/>
      <c r="Y140" s="1731"/>
      <c r="Z140" s="1731"/>
      <c r="AA140" s="1731"/>
    </row>
    <row r="141" spans="1:47" ht="38.25" customHeight="1" x14ac:dyDescent="0.2">
      <c r="A141" s="182">
        <v>8</v>
      </c>
      <c r="B141" s="1936" t="s">
        <v>73</v>
      </c>
      <c r="C141" s="3216" t="s">
        <v>104</v>
      </c>
      <c r="D141" s="3216"/>
      <c r="E141" s="3216"/>
      <c r="F141" s="1937"/>
      <c r="G141" s="1938"/>
      <c r="H141" s="3217" t="s">
        <v>88</v>
      </c>
      <c r="I141" s="3218"/>
      <c r="K141" s="182">
        <v>8</v>
      </c>
      <c r="L141" s="1936" t="s">
        <v>73</v>
      </c>
      <c r="M141" s="3185" t="s">
        <v>812</v>
      </c>
      <c r="N141" s="3186"/>
      <c r="O141" s="3186"/>
      <c r="P141" s="2789"/>
      <c r="Q141" s="1938"/>
      <c r="R141" s="3217" t="s">
        <v>88</v>
      </c>
      <c r="S141" s="3218"/>
      <c r="U141" s="3216" t="s">
        <v>506</v>
      </c>
      <c r="V141" s="3216"/>
      <c r="W141" s="3216"/>
      <c r="X141" s="1937"/>
      <c r="Y141" s="1939"/>
      <c r="Z141" s="3217" t="s">
        <v>88</v>
      </c>
      <c r="AA141" s="3218"/>
    </row>
    <row r="142" spans="1:47" ht="38.25" x14ac:dyDescent="0.2">
      <c r="A142" s="185"/>
      <c r="B142" s="590" t="s">
        <v>89</v>
      </c>
      <c r="C142" s="1964" t="s">
        <v>54</v>
      </c>
      <c r="D142" s="1829" t="s">
        <v>91</v>
      </c>
      <c r="E142" s="1829" t="s">
        <v>92</v>
      </c>
      <c r="F142" s="1829"/>
      <c r="G142" s="1723"/>
      <c r="H142" s="1831" t="s">
        <v>166</v>
      </c>
      <c r="I142" s="1909" t="s">
        <v>92</v>
      </c>
      <c r="K142" s="185"/>
      <c r="L142" s="590" t="s">
        <v>89</v>
      </c>
      <c r="M142" s="590" t="s">
        <v>54</v>
      </c>
      <c r="N142" s="590" t="s">
        <v>91</v>
      </c>
      <c r="O142" s="590" t="s">
        <v>105</v>
      </c>
      <c r="P142" s="590" t="s">
        <v>106</v>
      </c>
      <c r="Q142" s="1723"/>
      <c r="R142" s="1831" t="s">
        <v>166</v>
      </c>
      <c r="S142" s="1909" t="s">
        <v>92</v>
      </c>
      <c r="U142" s="590" t="s">
        <v>90</v>
      </c>
      <c r="V142" s="590" t="s">
        <v>91</v>
      </c>
      <c r="W142" s="1830" t="s">
        <v>507</v>
      </c>
      <c r="X142" s="590"/>
      <c r="Y142" s="1766"/>
      <c r="Z142" s="1831" t="s">
        <v>54</v>
      </c>
      <c r="AA142" s="1832" t="s">
        <v>507</v>
      </c>
    </row>
    <row r="143" spans="1:47" ht="25.5" x14ac:dyDescent="0.2">
      <c r="A143" s="185"/>
      <c r="B143" s="1866" t="s">
        <v>167</v>
      </c>
      <c r="C143" s="1867"/>
      <c r="D143" s="1867"/>
      <c r="E143" s="1867"/>
      <c r="F143" s="1868"/>
      <c r="G143" s="1869"/>
      <c r="H143" s="1865"/>
      <c r="I143" s="1870"/>
      <c r="K143" s="185"/>
      <c r="L143" s="1866" t="s">
        <v>167</v>
      </c>
      <c r="M143" s="1872"/>
      <c r="N143" s="2830"/>
      <c r="O143" s="2831"/>
      <c r="P143" s="333"/>
      <c r="Q143" s="1869"/>
      <c r="R143" s="1865"/>
      <c r="S143" s="1870"/>
      <c r="U143" s="1743">
        <f t="shared" ref="U143:U154" si="46">M143-C143</f>
        <v>0</v>
      </c>
      <c r="V143" s="1743">
        <f t="shared" ref="V143:V154" si="47">N143-D143</f>
        <v>0</v>
      </c>
      <c r="W143" s="1743">
        <f t="shared" ref="W143:W154" si="48">O143-E143</f>
        <v>0</v>
      </c>
      <c r="X143" s="1743">
        <f t="shared" ref="X143:X154" si="49">P143-F143</f>
        <v>0</v>
      </c>
      <c r="Y143" s="1728">
        <f t="shared" ref="Y143:Y154" si="50">Q143-G143</f>
        <v>0</v>
      </c>
      <c r="Z143" s="1769"/>
      <c r="AA143" s="1770">
        <f t="shared" ref="AA143:AA154" si="51">S143-I143</f>
        <v>0</v>
      </c>
    </row>
    <row r="144" spans="1:47" x14ac:dyDescent="0.2">
      <c r="A144" s="185"/>
      <c r="B144" s="1866" t="s">
        <v>168</v>
      </c>
      <c r="C144" s="1867"/>
      <c r="D144" s="1867"/>
      <c r="E144" s="1867"/>
      <c r="F144" s="1868"/>
      <c r="G144" s="1869"/>
      <c r="H144" s="1865"/>
      <c r="I144" s="1870"/>
      <c r="K144" s="185"/>
      <c r="L144" s="1866" t="s">
        <v>168</v>
      </c>
      <c r="M144" s="1872"/>
      <c r="N144" s="2830"/>
      <c r="O144" s="2831"/>
      <c r="P144" s="333"/>
      <c r="Q144" s="1869"/>
      <c r="R144" s="1865"/>
      <c r="S144" s="1870"/>
      <c r="U144" s="1743">
        <f t="shared" si="46"/>
        <v>0</v>
      </c>
      <c r="V144" s="1743">
        <f t="shared" si="47"/>
        <v>0</v>
      </c>
      <c r="W144" s="1743">
        <f t="shared" si="48"/>
        <v>0</v>
      </c>
      <c r="X144" s="1743">
        <f t="shared" si="49"/>
        <v>0</v>
      </c>
      <c r="Y144" s="1728">
        <f t="shared" si="50"/>
        <v>0</v>
      </c>
      <c r="Z144" s="1769">
        <f t="shared" ref="Z144:Z154" si="52">R144-H144</f>
        <v>0</v>
      </c>
      <c r="AA144" s="1770">
        <f t="shared" si="51"/>
        <v>0</v>
      </c>
    </row>
    <row r="145" spans="1:48" ht="25.5" x14ac:dyDescent="0.2">
      <c r="A145" s="252"/>
      <c r="B145" s="253" t="s">
        <v>169</v>
      </c>
      <c r="C145" s="254">
        <v>20</v>
      </c>
      <c r="D145" s="255">
        <f>1500*J2</f>
        <v>7200</v>
      </c>
      <c r="E145" s="256">
        <f>D145*C145</f>
        <v>144000</v>
      </c>
      <c r="F145" s="1765"/>
      <c r="G145" s="1723"/>
      <c r="H145" s="1764"/>
      <c r="I145" s="1873"/>
      <c r="K145" s="252"/>
      <c r="L145" s="253" t="s">
        <v>169</v>
      </c>
      <c r="M145" s="254">
        <v>20</v>
      </c>
      <c r="N145" s="2832">
        <f>6600</f>
        <v>6600</v>
      </c>
      <c r="O145" s="2833">
        <f>N145*M145</f>
        <v>132000</v>
      </c>
      <c r="P145" s="333"/>
      <c r="Q145" s="1723"/>
      <c r="R145" s="1764"/>
      <c r="S145" s="1873"/>
      <c r="U145" s="1727">
        <f t="shared" si="46"/>
        <v>0</v>
      </c>
      <c r="V145" s="1727">
        <f t="shared" si="47"/>
        <v>-600</v>
      </c>
      <c r="W145" s="1727">
        <f t="shared" si="48"/>
        <v>-12000</v>
      </c>
      <c r="X145" s="1743">
        <f t="shared" si="49"/>
        <v>0</v>
      </c>
      <c r="Y145" s="1728">
        <f t="shared" si="50"/>
        <v>0</v>
      </c>
      <c r="Z145" s="1769">
        <f t="shared" si="52"/>
        <v>0</v>
      </c>
      <c r="AA145" s="1770">
        <f t="shared" si="51"/>
        <v>0</v>
      </c>
      <c r="AT145" s="1874"/>
    </row>
    <row r="146" spans="1:48" ht="63.75" x14ac:dyDescent="0.2">
      <c r="A146" s="252"/>
      <c r="B146" s="258" t="s">
        <v>170</v>
      </c>
      <c r="C146" s="254">
        <v>20</v>
      </c>
      <c r="D146" s="255">
        <f>400*J2</f>
        <v>1920</v>
      </c>
      <c r="E146" s="256">
        <f>D146*C146</f>
        <v>38400</v>
      </c>
      <c r="F146" s="1765"/>
      <c r="G146" s="1723"/>
      <c r="H146" s="1764"/>
      <c r="I146" s="1873"/>
      <c r="K146" s="252"/>
      <c r="L146" s="258" t="s">
        <v>170</v>
      </c>
      <c r="M146" s="254">
        <v>20</v>
      </c>
      <c r="N146" s="2832">
        <v>1760.0000000000002</v>
      </c>
      <c r="O146" s="2833">
        <f>N146*M146</f>
        <v>35200.000000000007</v>
      </c>
      <c r="P146" s="333"/>
      <c r="Q146" s="1723"/>
      <c r="R146" s="1764"/>
      <c r="S146" s="1873"/>
      <c r="U146" s="1727">
        <f t="shared" si="46"/>
        <v>0</v>
      </c>
      <c r="V146" s="1727">
        <f t="shared" si="47"/>
        <v>-159.99999999999977</v>
      </c>
      <c r="W146" s="1727">
        <f t="shared" si="48"/>
        <v>-3199.9999999999927</v>
      </c>
      <c r="X146" s="1743">
        <f t="shared" si="49"/>
        <v>0</v>
      </c>
      <c r="Y146" s="1728">
        <f t="shared" si="50"/>
        <v>0</v>
      </c>
      <c r="Z146" s="1769">
        <f t="shared" si="52"/>
        <v>0</v>
      </c>
      <c r="AA146" s="1770">
        <f t="shared" si="51"/>
        <v>0</v>
      </c>
      <c r="AQ146" s="1874"/>
    </row>
    <row r="147" spans="1:48" ht="38.25" x14ac:dyDescent="0.2">
      <c r="A147" s="252"/>
      <c r="B147" s="1875" t="s">
        <v>171</v>
      </c>
      <c r="C147" s="1876">
        <v>15</v>
      </c>
      <c r="D147" s="1877">
        <f>1430*J1</f>
        <v>5434</v>
      </c>
      <c r="E147" s="1877">
        <f>D147*C147</f>
        <v>81510</v>
      </c>
      <c r="F147" s="1878"/>
      <c r="G147" s="1879"/>
      <c r="H147" s="1878"/>
      <c r="I147" s="1880"/>
      <c r="K147" s="252"/>
      <c r="L147" s="1875" t="s">
        <v>171</v>
      </c>
      <c r="M147" s="1882">
        <v>15</v>
      </c>
      <c r="N147" s="2832">
        <f>(800+180*2+90*3)*J1</f>
        <v>5434</v>
      </c>
      <c r="O147" s="2833">
        <f>N147*M147</f>
        <v>81510</v>
      </c>
      <c r="P147" s="333"/>
      <c r="Q147" s="1879"/>
      <c r="R147" s="1878"/>
      <c r="S147" s="1880"/>
      <c r="U147" s="1727">
        <f t="shared" si="46"/>
        <v>0</v>
      </c>
      <c r="V147" s="1727">
        <f t="shared" si="47"/>
        <v>0</v>
      </c>
      <c r="W147" s="1727">
        <f t="shared" si="48"/>
        <v>0</v>
      </c>
      <c r="X147" s="1743">
        <f t="shared" si="49"/>
        <v>0</v>
      </c>
      <c r="Y147" s="1728">
        <f t="shared" si="50"/>
        <v>0</v>
      </c>
      <c r="Z147" s="1769">
        <f t="shared" si="52"/>
        <v>0</v>
      </c>
      <c r="AA147" s="1770">
        <f t="shared" si="51"/>
        <v>0</v>
      </c>
    </row>
    <row r="148" spans="1:48" x14ac:dyDescent="0.2">
      <c r="A148" s="252"/>
      <c r="B148" s="1884" t="s">
        <v>172</v>
      </c>
      <c r="C148" s="1876">
        <v>15</v>
      </c>
      <c r="D148" s="1877">
        <f>1000*J2</f>
        <v>4800</v>
      </c>
      <c r="E148" s="1877">
        <f>D148*C148</f>
        <v>72000</v>
      </c>
      <c r="F148" s="1885"/>
      <c r="G148" s="1723"/>
      <c r="H148" s="1724"/>
      <c r="I148" s="1725"/>
      <c r="K148" s="252"/>
      <c r="L148" s="1884" t="s">
        <v>172</v>
      </c>
      <c r="M148" s="1882">
        <v>15</v>
      </c>
      <c r="N148" s="2832">
        <v>4400</v>
      </c>
      <c r="O148" s="2833">
        <f>N148*M148</f>
        <v>66000</v>
      </c>
      <c r="P148" s="333"/>
      <c r="Q148" s="1723"/>
      <c r="R148" s="1724"/>
      <c r="S148" s="1725"/>
      <c r="U148" s="1727">
        <f t="shared" si="46"/>
        <v>0</v>
      </c>
      <c r="V148" s="1727">
        <f t="shared" si="47"/>
        <v>-400</v>
      </c>
      <c r="W148" s="1727">
        <f t="shared" si="48"/>
        <v>-6000</v>
      </c>
      <c r="X148" s="1743">
        <f t="shared" si="49"/>
        <v>0</v>
      </c>
      <c r="Y148" s="1728">
        <f t="shared" si="50"/>
        <v>0</v>
      </c>
      <c r="Z148" s="1769">
        <f t="shared" si="52"/>
        <v>0</v>
      </c>
      <c r="AA148" s="1770">
        <f t="shared" si="51"/>
        <v>0</v>
      </c>
    </row>
    <row r="149" spans="1:48" ht="25.5" x14ac:dyDescent="0.2">
      <c r="A149" s="185"/>
      <c r="B149" s="1886" t="s">
        <v>173</v>
      </c>
      <c r="C149" s="259">
        <v>3</v>
      </c>
      <c r="D149" s="260"/>
      <c r="E149" s="261"/>
      <c r="F149" s="1887"/>
      <c r="G149" s="1869"/>
      <c r="H149" s="1888"/>
      <c r="I149" s="1889"/>
      <c r="K149" s="185"/>
      <c r="L149" s="1886" t="s">
        <v>173</v>
      </c>
      <c r="M149" s="560">
        <v>3</v>
      </c>
      <c r="N149" s="2832"/>
      <c r="O149" s="2828"/>
      <c r="P149" s="333"/>
      <c r="Q149" s="1869"/>
      <c r="R149" s="1888"/>
      <c r="S149" s="1889"/>
      <c r="U149" s="1727">
        <f t="shared" si="46"/>
        <v>0</v>
      </c>
      <c r="V149" s="1727">
        <f t="shared" si="47"/>
        <v>0</v>
      </c>
      <c r="W149" s="1727">
        <f t="shared" si="48"/>
        <v>0</v>
      </c>
      <c r="X149" s="1743">
        <f t="shared" si="49"/>
        <v>0</v>
      </c>
      <c r="Y149" s="1728">
        <f t="shared" si="50"/>
        <v>0</v>
      </c>
      <c r="Z149" s="1769">
        <f t="shared" si="52"/>
        <v>0</v>
      </c>
      <c r="AA149" s="1770">
        <f t="shared" si="51"/>
        <v>0</v>
      </c>
    </row>
    <row r="150" spans="1:48" ht="25.5" x14ac:dyDescent="0.2">
      <c r="A150" s="252"/>
      <c r="B150" s="1818" t="s">
        <v>174</v>
      </c>
      <c r="C150" s="1890">
        <v>3</v>
      </c>
      <c r="D150" s="1891">
        <f>160*17*J2</f>
        <v>13056</v>
      </c>
      <c r="E150" s="256">
        <f>D150*C150</f>
        <v>39168</v>
      </c>
      <c r="F150" s="1765"/>
      <c r="G150" s="1723"/>
      <c r="H150" s="1772"/>
      <c r="I150" s="1873"/>
      <c r="K150" s="252"/>
      <c r="L150" s="1818" t="s">
        <v>174</v>
      </c>
      <c r="M150" s="1892">
        <v>3</v>
      </c>
      <c r="N150" s="2832">
        <v>11968.000000000002</v>
      </c>
      <c r="O150" s="2829">
        <f>N150*M150</f>
        <v>35904.000000000007</v>
      </c>
      <c r="P150" s="333"/>
      <c r="Q150" s="1723"/>
      <c r="R150" s="1772"/>
      <c r="S150" s="1873"/>
      <c r="U150" s="1727">
        <f t="shared" si="46"/>
        <v>0</v>
      </c>
      <c r="V150" s="1727">
        <f t="shared" si="47"/>
        <v>-1087.9999999999982</v>
      </c>
      <c r="W150" s="1727">
        <f t="shared" si="48"/>
        <v>-3263.9999999999927</v>
      </c>
      <c r="X150" s="1743">
        <f t="shared" si="49"/>
        <v>0</v>
      </c>
      <c r="Y150" s="1728">
        <f t="shared" si="50"/>
        <v>0</v>
      </c>
      <c r="Z150" s="1769">
        <f t="shared" si="52"/>
        <v>0</v>
      </c>
      <c r="AA150" s="1770">
        <f t="shared" si="51"/>
        <v>0</v>
      </c>
    </row>
    <row r="151" spans="1:48" ht="127.5" x14ac:dyDescent="0.2">
      <c r="A151" s="252"/>
      <c r="B151" s="1818" t="s">
        <v>853</v>
      </c>
      <c r="C151" s="266">
        <v>3</v>
      </c>
      <c r="D151" s="1891">
        <f>250*30*J2+1000*2*J2+1500*J2+300*J2/3*5+2000*J2+350*J2*2</f>
        <v>68160</v>
      </c>
      <c r="E151" s="256">
        <f>D151*C151</f>
        <v>204480</v>
      </c>
      <c r="F151" s="1765"/>
      <c r="G151" s="1723"/>
      <c r="H151" s="1772"/>
      <c r="I151" s="1873"/>
      <c r="K151" s="252"/>
      <c r="L151" s="1818" t="s">
        <v>853</v>
      </c>
      <c r="M151" s="266">
        <v>3</v>
      </c>
      <c r="N151" s="2832">
        <f>33000+8800+6600+1320/3*5+2000*J2+350*J2*2</f>
        <v>63560</v>
      </c>
      <c r="O151" s="2829">
        <f>N151*M151</f>
        <v>190680</v>
      </c>
      <c r="P151" s="333"/>
      <c r="Q151" s="1723"/>
      <c r="R151" s="1772"/>
      <c r="S151" s="1873"/>
      <c r="U151" s="1727">
        <f t="shared" si="46"/>
        <v>0</v>
      </c>
      <c r="V151" s="1727">
        <f t="shared" si="47"/>
        <v>-4600</v>
      </c>
      <c r="W151" s="1727">
        <f t="shared" si="48"/>
        <v>-13800</v>
      </c>
      <c r="X151" s="1743">
        <f t="shared" si="49"/>
        <v>0</v>
      </c>
      <c r="Y151" s="1728">
        <f t="shared" si="50"/>
        <v>0</v>
      </c>
      <c r="Z151" s="1769">
        <f t="shared" si="52"/>
        <v>0</v>
      </c>
      <c r="AA151" s="1770">
        <f t="shared" si="51"/>
        <v>0</v>
      </c>
    </row>
    <row r="152" spans="1:48" ht="25.5" x14ac:dyDescent="0.2">
      <c r="A152" s="252"/>
      <c r="B152" s="1893" t="s">
        <v>175</v>
      </c>
      <c r="C152" s="1772">
        <v>3</v>
      </c>
      <c r="D152" s="267">
        <f>2*(800*J1)</f>
        <v>6080</v>
      </c>
      <c r="E152" s="256">
        <f>D152*C152</f>
        <v>18240</v>
      </c>
      <c r="F152" s="1765"/>
      <c r="G152" s="1723"/>
      <c r="H152" s="1764"/>
      <c r="I152" s="1873"/>
      <c r="K152" s="252"/>
      <c r="L152" s="1893" t="s">
        <v>175</v>
      </c>
      <c r="M152" s="1894">
        <v>3</v>
      </c>
      <c r="N152" s="2832">
        <f>2*(800*J1)</f>
        <v>6080</v>
      </c>
      <c r="O152" s="2829">
        <f>N152*M152</f>
        <v>18240</v>
      </c>
      <c r="P152" s="333"/>
      <c r="Q152" s="1723"/>
      <c r="R152" s="1764"/>
      <c r="S152" s="1873"/>
      <c r="U152" s="1727">
        <f t="shared" si="46"/>
        <v>0</v>
      </c>
      <c r="V152" s="1727">
        <f t="shared" si="47"/>
        <v>0</v>
      </c>
      <c r="W152" s="1727">
        <f t="shared" si="48"/>
        <v>0</v>
      </c>
      <c r="X152" s="1743">
        <f t="shared" si="49"/>
        <v>0</v>
      </c>
      <c r="Y152" s="1728">
        <f t="shared" si="50"/>
        <v>0</v>
      </c>
      <c r="Z152" s="1769">
        <f t="shared" si="52"/>
        <v>0</v>
      </c>
      <c r="AA152" s="1770">
        <f t="shared" si="51"/>
        <v>0</v>
      </c>
      <c r="AV152" s="1874"/>
    </row>
    <row r="153" spans="1:48" ht="25.5" x14ac:dyDescent="0.2">
      <c r="A153" s="252"/>
      <c r="B153" s="1819" t="s">
        <v>176</v>
      </c>
      <c r="C153" s="1772">
        <v>3</v>
      </c>
      <c r="D153" s="267">
        <f>2*3*((90*J1)+2*2*(J2*160))</f>
        <v>20484</v>
      </c>
      <c r="E153" s="256">
        <f>D153*C153</f>
        <v>61452</v>
      </c>
      <c r="F153" s="1765"/>
      <c r="G153" s="1723"/>
      <c r="H153" s="1764"/>
      <c r="I153" s="1873"/>
      <c r="K153" s="252"/>
      <c r="L153" s="1819" t="s">
        <v>176</v>
      </c>
      <c r="M153" s="1894">
        <v>3</v>
      </c>
      <c r="N153" s="2832">
        <f>2*3*((90*J1)+2*2*(J2*160))</f>
        <v>20484</v>
      </c>
      <c r="O153" s="2829">
        <f>N153*M153</f>
        <v>61452</v>
      </c>
      <c r="P153" s="333"/>
      <c r="Q153" s="1723"/>
      <c r="R153" s="1764"/>
      <c r="S153" s="1873"/>
      <c r="U153" s="1727">
        <f t="shared" si="46"/>
        <v>0</v>
      </c>
      <c r="V153" s="1727">
        <f t="shared" si="47"/>
        <v>0</v>
      </c>
      <c r="W153" s="1727">
        <f t="shared" si="48"/>
        <v>0</v>
      </c>
      <c r="X153" s="1743">
        <f t="shared" si="49"/>
        <v>0</v>
      </c>
      <c r="Y153" s="1728">
        <f t="shared" si="50"/>
        <v>0</v>
      </c>
      <c r="Z153" s="1769">
        <f t="shared" si="52"/>
        <v>0</v>
      </c>
      <c r="AA153" s="1770">
        <f t="shared" si="51"/>
        <v>0</v>
      </c>
      <c r="AV153" s="1874"/>
    </row>
    <row r="154" spans="1:48" ht="38.25" x14ac:dyDescent="0.2">
      <c r="A154" s="252"/>
      <c r="B154" s="1763" t="s">
        <v>177</v>
      </c>
      <c r="C154" s="1877">
        <v>3</v>
      </c>
      <c r="D154" s="268">
        <f>3*(350*J1)</f>
        <v>3990</v>
      </c>
      <c r="E154" s="256">
        <f>D154*C154</f>
        <v>11970</v>
      </c>
      <c r="F154" s="1765"/>
      <c r="G154" s="1723"/>
      <c r="H154" s="1764"/>
      <c r="I154" s="1873"/>
      <c r="K154" s="252"/>
      <c r="L154" s="1763" t="s">
        <v>177</v>
      </c>
      <c r="M154" s="1883">
        <v>3</v>
      </c>
      <c r="N154" s="2832">
        <f>3*(350*J1)</f>
        <v>3990</v>
      </c>
      <c r="O154" s="2829">
        <f>N154*M154</f>
        <v>11970</v>
      </c>
      <c r="P154" s="333"/>
      <c r="Q154" s="1723"/>
      <c r="R154" s="1764"/>
      <c r="S154" s="1873"/>
      <c r="U154" s="1727">
        <f t="shared" si="46"/>
        <v>0</v>
      </c>
      <c r="V154" s="1727">
        <f t="shared" si="47"/>
        <v>0</v>
      </c>
      <c r="W154" s="1727">
        <f t="shared" si="48"/>
        <v>0</v>
      </c>
      <c r="X154" s="1743">
        <f t="shared" si="49"/>
        <v>0</v>
      </c>
      <c r="Y154" s="1728">
        <f t="shared" si="50"/>
        <v>0</v>
      </c>
      <c r="Z154" s="1769">
        <f t="shared" si="52"/>
        <v>0</v>
      </c>
      <c r="AA154" s="1770">
        <f t="shared" si="51"/>
        <v>0</v>
      </c>
    </row>
    <row r="155" spans="1:48" ht="13.5" thickBot="1" x14ac:dyDescent="0.25">
      <c r="A155" s="200"/>
      <c r="B155" s="1895"/>
      <c r="C155" s="1896"/>
      <c r="D155" s="1896"/>
      <c r="E155" s="1896">
        <f>SUM(E144:E154)</f>
        <v>671220</v>
      </c>
      <c r="F155" s="1896"/>
      <c r="G155" s="1897"/>
      <c r="H155" s="1896"/>
      <c r="I155" s="1898"/>
      <c r="K155" s="200"/>
      <c r="L155" s="1895"/>
      <c r="M155" s="1895"/>
      <c r="N155" s="1895"/>
      <c r="O155" s="1895">
        <f>SUM(O145:O154)</f>
        <v>632956</v>
      </c>
      <c r="P155" s="1895"/>
      <c r="Q155" s="1897"/>
      <c r="R155" s="1896"/>
      <c r="S155" s="1898"/>
      <c r="U155" s="1781"/>
      <c r="V155" s="1781"/>
      <c r="W155" s="1782">
        <f>SUM(W144:W154)</f>
        <v>-38263.999999999985</v>
      </c>
      <c r="X155" s="1782">
        <f>SUM(X144:X154)</f>
        <v>0</v>
      </c>
      <c r="Y155" s="1782">
        <f>SUM(Y147:Y154)</f>
        <v>0</v>
      </c>
      <c r="Z155" s="1782"/>
      <c r="AA155" s="1782">
        <f>SUM(AA144:AA154)</f>
        <v>0</v>
      </c>
    </row>
    <row r="156" spans="1:48" x14ac:dyDescent="0.2">
      <c r="B156" s="2034" t="s">
        <v>133</v>
      </c>
      <c r="C156" s="270"/>
      <c r="D156" s="271"/>
      <c r="E156" s="272">
        <f>-E155+[2]צרפת!$E$180</f>
        <v>0</v>
      </c>
      <c r="F156" s="2071"/>
      <c r="G156" s="1972"/>
      <c r="H156" s="2071"/>
      <c r="I156" s="2071"/>
      <c r="O156" s="1930">
        <f>-O155+[2]צרפת!$O$180</f>
        <v>0</v>
      </c>
      <c r="AJ156" s="1874"/>
    </row>
    <row r="157" spans="1:48" ht="13.5" thickBot="1" x14ac:dyDescent="0.25">
      <c r="B157" s="274"/>
      <c r="C157" s="270"/>
      <c r="D157" s="271"/>
      <c r="E157" s="272"/>
      <c r="F157" s="2071"/>
      <c r="G157" s="1972"/>
      <c r="H157" s="2071"/>
      <c r="I157" s="2071"/>
      <c r="AJ157" s="1874"/>
    </row>
    <row r="158" spans="1:48" ht="30" customHeight="1" x14ac:dyDescent="0.2">
      <c r="A158" s="182">
        <v>9</v>
      </c>
      <c r="B158" s="1936" t="s">
        <v>178</v>
      </c>
      <c r="C158" s="3216" t="s">
        <v>179</v>
      </c>
      <c r="D158" s="3216"/>
      <c r="E158" s="3216"/>
      <c r="F158" s="1937"/>
      <c r="G158" s="1938"/>
      <c r="H158" s="3217" t="s">
        <v>88</v>
      </c>
      <c r="I158" s="3218"/>
      <c r="K158" s="182">
        <v>9</v>
      </c>
      <c r="L158" s="1936" t="s">
        <v>178</v>
      </c>
      <c r="M158" s="3207" t="s">
        <v>812</v>
      </c>
      <c r="N158" s="3208"/>
      <c r="O158" s="3209"/>
      <c r="P158" s="2045"/>
      <c r="Q158" s="1938"/>
      <c r="R158" s="3217" t="s">
        <v>88</v>
      </c>
      <c r="S158" s="3218"/>
      <c r="U158" s="3216" t="s">
        <v>506</v>
      </c>
      <c r="V158" s="3216"/>
      <c r="W158" s="3216"/>
      <c r="X158" s="1937"/>
      <c r="Y158" s="1939"/>
      <c r="Z158" s="3217" t="s">
        <v>88</v>
      </c>
      <c r="AA158" s="3218"/>
      <c r="AV158" s="1874"/>
    </row>
    <row r="159" spans="1:48" ht="38.25" x14ac:dyDescent="0.2">
      <c r="A159" s="185"/>
      <c r="B159" s="590" t="s">
        <v>89</v>
      </c>
      <c r="C159" s="1831" t="s">
        <v>54</v>
      </c>
      <c r="D159" s="590" t="s">
        <v>91</v>
      </c>
      <c r="E159" s="590" t="s">
        <v>92</v>
      </c>
      <c r="F159" s="590"/>
      <c r="G159" s="1723"/>
      <c r="H159" s="1831" t="s">
        <v>54</v>
      </c>
      <c r="I159" s="1909" t="s">
        <v>92</v>
      </c>
      <c r="K159" s="185"/>
      <c r="L159" s="590" t="s">
        <v>89</v>
      </c>
      <c r="M159" s="590" t="s">
        <v>54</v>
      </c>
      <c r="N159" s="590" t="s">
        <v>91</v>
      </c>
      <c r="O159" s="590" t="s">
        <v>207</v>
      </c>
      <c r="P159" s="590"/>
      <c r="Q159" s="1723"/>
      <c r="R159" s="1831" t="s">
        <v>54</v>
      </c>
      <c r="S159" s="1909" t="s">
        <v>92</v>
      </c>
      <c r="U159" s="590" t="s">
        <v>90</v>
      </c>
      <c r="V159" s="590" t="s">
        <v>91</v>
      </c>
      <c r="W159" s="1830" t="s">
        <v>507</v>
      </c>
      <c r="X159" s="590"/>
      <c r="Y159" s="1766"/>
      <c r="Z159" s="1831" t="s">
        <v>54</v>
      </c>
      <c r="AA159" s="1832" t="s">
        <v>507</v>
      </c>
    </row>
    <row r="160" spans="1:48" ht="25.5" x14ac:dyDescent="0.2">
      <c r="A160" s="1719"/>
      <c r="B160" s="1899" t="s">
        <v>180</v>
      </c>
      <c r="C160" s="1899">
        <v>8</v>
      </c>
      <c r="D160" s="1899"/>
      <c r="E160" s="1899"/>
      <c r="F160" s="1724"/>
      <c r="G160" s="1723"/>
      <c r="H160" s="1724"/>
      <c r="I160" s="1725"/>
      <c r="K160" s="1719"/>
      <c r="L160" s="1899" t="s">
        <v>180</v>
      </c>
      <c r="M160" s="557">
        <v>2</v>
      </c>
      <c r="N160" s="1899"/>
      <c r="O160" s="1899"/>
      <c r="P160" s="1899"/>
      <c r="Q160" s="1723"/>
      <c r="R160" s="1724"/>
      <c r="S160" s="1725"/>
      <c r="U160" s="1743">
        <f t="shared" ref="U160:Y162" si="53">M160-C160</f>
        <v>-6</v>
      </c>
      <c r="V160" s="1743">
        <f t="shared" si="53"/>
        <v>0</v>
      </c>
      <c r="W160" s="1743">
        <f t="shared" si="53"/>
        <v>0</v>
      </c>
      <c r="X160" s="1743">
        <f t="shared" si="53"/>
        <v>0</v>
      </c>
      <c r="Y160" s="1728">
        <f t="shared" si="53"/>
        <v>0</v>
      </c>
      <c r="Z160" s="1769"/>
      <c r="AA160" s="1770">
        <f>S160-I160</f>
        <v>0</v>
      </c>
    </row>
    <row r="161" spans="1:48" ht="102" x14ac:dyDescent="0.2">
      <c r="A161" s="1900"/>
      <c r="B161" s="269" t="s">
        <v>181</v>
      </c>
      <c r="C161" s="2836">
        <f>C160</f>
        <v>8</v>
      </c>
      <c r="D161" s="1901">
        <f>1500*2+7500+2000+400*J2+7500</f>
        <v>21920</v>
      </c>
      <c r="E161" s="1901">
        <f>D161*C161</f>
        <v>175360</v>
      </c>
      <c r="F161" s="1724"/>
      <c r="G161" s="1723"/>
      <c r="H161" s="1724"/>
      <c r="I161" s="1725"/>
      <c r="K161" s="1900"/>
      <c r="L161" s="269" t="s">
        <v>854</v>
      </c>
      <c r="M161" s="1903">
        <f>M160</f>
        <v>2</v>
      </c>
      <c r="N161" s="1903">
        <f>1500+7500+2000+400*J2+7500</f>
        <v>20420</v>
      </c>
      <c r="O161" s="1903">
        <f>+N161*M161</f>
        <v>40840</v>
      </c>
      <c r="P161" s="1903"/>
      <c r="Q161" s="1723"/>
      <c r="R161" s="1724"/>
      <c r="S161" s="1725"/>
      <c r="U161" s="1743">
        <f t="shared" si="53"/>
        <v>-6</v>
      </c>
      <c r="V161" s="1743">
        <f t="shared" si="53"/>
        <v>-1500</v>
      </c>
      <c r="W161" s="1743">
        <f t="shared" si="53"/>
        <v>-134520</v>
      </c>
      <c r="X161" s="1743">
        <f t="shared" si="53"/>
        <v>0</v>
      </c>
      <c r="Y161" s="1728">
        <f t="shared" si="53"/>
        <v>0</v>
      </c>
      <c r="Z161" s="1769">
        <f>R161-H161</f>
        <v>0</v>
      </c>
      <c r="AA161" s="1770">
        <f>S161-I161</f>
        <v>0</v>
      </c>
    </row>
    <row r="162" spans="1:48" x14ac:dyDescent="0.2">
      <c r="A162" s="1900"/>
      <c r="B162" s="269" t="s">
        <v>182</v>
      </c>
      <c r="C162" s="1818">
        <v>8</v>
      </c>
      <c r="D162" s="1818">
        <v>1500</v>
      </c>
      <c r="E162" s="1901">
        <f>D162*C162</f>
        <v>12000</v>
      </c>
      <c r="F162" s="1724"/>
      <c r="G162" s="1723"/>
      <c r="H162" s="1724"/>
      <c r="I162" s="1725"/>
      <c r="K162" s="1900"/>
      <c r="L162" s="269" t="s">
        <v>182</v>
      </c>
      <c r="M162" s="1904">
        <f>M160</f>
        <v>2</v>
      </c>
      <c r="N162" s="1818">
        <v>1500</v>
      </c>
      <c r="O162" s="1903">
        <f>N162*M162</f>
        <v>3000</v>
      </c>
      <c r="P162" s="1740"/>
      <c r="Q162" s="1723"/>
      <c r="R162" s="1724"/>
      <c r="S162" s="1725"/>
      <c r="U162" s="1727">
        <f t="shared" si="53"/>
        <v>-6</v>
      </c>
      <c r="V162" s="1727">
        <f t="shared" si="53"/>
        <v>0</v>
      </c>
      <c r="W162" s="1727">
        <f t="shared" si="53"/>
        <v>-9000</v>
      </c>
      <c r="X162" s="1743">
        <f t="shared" si="53"/>
        <v>0</v>
      </c>
      <c r="Y162" s="1728">
        <f t="shared" si="53"/>
        <v>0</v>
      </c>
      <c r="Z162" s="1769">
        <f>R162-H162</f>
        <v>0</v>
      </c>
      <c r="AA162" s="1770">
        <f>S162-I162</f>
        <v>0</v>
      </c>
    </row>
    <row r="163" spans="1:48" ht="13.5" thickBot="1" x14ac:dyDescent="0.25">
      <c r="A163" s="185"/>
      <c r="B163" s="1905"/>
      <c r="C163" s="1779"/>
      <c r="D163" s="1906"/>
      <c r="E163" s="1906">
        <f>SUM(E161:E162)</f>
        <v>187360</v>
      </c>
      <c r="F163" s="1779"/>
      <c r="G163" s="1723"/>
      <c r="H163" s="1779"/>
      <c r="I163" s="1780"/>
      <c r="K163" s="185"/>
      <c r="L163" s="1905"/>
      <c r="M163" s="1907"/>
      <c r="N163" s="1907"/>
      <c r="O163" s="1908">
        <f>SUM(O161:O162)</f>
        <v>43840</v>
      </c>
      <c r="P163" s="1908"/>
      <c r="Q163" s="1723"/>
      <c r="R163" s="1779"/>
      <c r="S163" s="1780"/>
      <c r="U163" s="1781"/>
      <c r="V163" s="1781"/>
      <c r="W163" s="1782">
        <f>SUM(W161:W162)</f>
        <v>-143520</v>
      </c>
      <c r="X163" s="1782">
        <f>SUM(X154:X162)</f>
        <v>0</v>
      </c>
      <c r="Y163" s="1782">
        <f>SUM(Y155:Y162)</f>
        <v>0</v>
      </c>
      <c r="Z163" s="1782"/>
      <c r="AA163" s="1782">
        <f>SUM(AA154:AA162)</f>
        <v>0</v>
      </c>
    </row>
    <row r="164" spans="1:48" x14ac:dyDescent="0.2">
      <c r="A164" s="185"/>
      <c r="B164" s="2072" t="s">
        <v>183</v>
      </c>
      <c r="C164" s="1887"/>
      <c r="D164" s="1887"/>
      <c r="E164" s="1887"/>
      <c r="F164" s="1887"/>
      <c r="G164" s="1891"/>
      <c r="H164" s="1887"/>
      <c r="I164" s="1889"/>
      <c r="O164" s="1930">
        <f>-O163+[2]צרפת!$O$193</f>
        <v>0</v>
      </c>
    </row>
    <row r="165" spans="1:48" x14ac:dyDescent="0.2">
      <c r="A165" s="2014"/>
      <c r="B165" s="2073" t="s">
        <v>184</v>
      </c>
      <c r="C165" s="1738"/>
      <c r="D165" s="1738"/>
      <c r="E165" s="2834">
        <f>-E163+[2]צרפת!$E$193</f>
        <v>0</v>
      </c>
      <c r="F165" s="1738"/>
      <c r="G165" s="1738"/>
      <c r="H165" s="1738"/>
      <c r="I165" s="1739"/>
    </row>
    <row r="166" spans="1:48" s="1971" customFormat="1" ht="13.5" thickBot="1" x14ac:dyDescent="0.25">
      <c r="A166" s="2074"/>
      <c r="B166" s="1862"/>
      <c r="J166" s="1731"/>
      <c r="U166" s="1731"/>
      <c r="V166" s="1731"/>
      <c r="W166" s="1731"/>
      <c r="X166" s="1731"/>
      <c r="Y166" s="1731"/>
      <c r="Z166" s="1731"/>
      <c r="AA166" s="1731"/>
    </row>
    <row r="167" spans="1:48" x14ac:dyDescent="0.2">
      <c r="A167" s="281">
        <v>10</v>
      </c>
      <c r="B167" s="2075" t="s">
        <v>185</v>
      </c>
      <c r="C167" s="3221" t="s">
        <v>87</v>
      </c>
      <c r="D167" s="3221"/>
      <c r="E167" s="3221"/>
      <c r="F167" s="2076"/>
      <c r="G167" s="2077"/>
      <c r="H167" s="3222" t="s">
        <v>88</v>
      </c>
      <c r="I167" s="3223"/>
      <c r="K167" s="182">
        <v>10</v>
      </c>
      <c r="L167" s="1936" t="s">
        <v>555</v>
      </c>
      <c r="M167" s="3207" t="s">
        <v>813</v>
      </c>
      <c r="N167" s="3208"/>
      <c r="O167" s="3209"/>
      <c r="P167" s="2045"/>
      <c r="Q167" s="1938"/>
      <c r="R167" s="3231" t="s">
        <v>88</v>
      </c>
      <c r="S167" s="3232"/>
      <c r="U167" s="3216" t="s">
        <v>506</v>
      </c>
      <c r="V167" s="3216"/>
      <c r="W167" s="3216"/>
      <c r="X167" s="1937"/>
      <c r="Y167" s="1939"/>
      <c r="Z167" s="3217" t="s">
        <v>88</v>
      </c>
      <c r="AA167" s="3218"/>
      <c r="AJ167" s="1874"/>
    </row>
    <row r="168" spans="1:48" ht="38.25" x14ac:dyDescent="0.2">
      <c r="A168" s="185"/>
      <c r="B168" s="590" t="s">
        <v>89</v>
      </c>
      <c r="C168" s="1831" t="s">
        <v>54</v>
      </c>
      <c r="D168" s="590" t="s">
        <v>91</v>
      </c>
      <c r="E168" s="590" t="s">
        <v>105</v>
      </c>
      <c r="F168" s="590" t="s">
        <v>106</v>
      </c>
      <c r="G168" s="1723"/>
      <c r="H168" s="1831" t="s">
        <v>54</v>
      </c>
      <c r="I168" s="1909" t="s">
        <v>92</v>
      </c>
      <c r="K168" s="185"/>
      <c r="L168" s="1910" t="s">
        <v>89</v>
      </c>
      <c r="M168" s="1911" t="s">
        <v>54</v>
      </c>
      <c r="N168" s="1912" t="s">
        <v>508</v>
      </c>
      <c r="O168" s="1830" t="s">
        <v>530</v>
      </c>
      <c r="P168" s="1830" t="s">
        <v>106</v>
      </c>
      <c r="Q168" s="1913"/>
      <c r="R168" s="1910" t="s">
        <v>166</v>
      </c>
      <c r="S168" s="1832" t="s">
        <v>502</v>
      </c>
      <c r="U168" s="590" t="s">
        <v>90</v>
      </c>
      <c r="V168" s="590" t="s">
        <v>91</v>
      </c>
      <c r="W168" s="1830" t="s">
        <v>507</v>
      </c>
      <c r="X168" s="590"/>
      <c r="Y168" s="1766"/>
      <c r="Z168" s="1831" t="s">
        <v>54</v>
      </c>
      <c r="AA168" s="1832" t="s">
        <v>507</v>
      </c>
      <c r="AV168" s="1874"/>
    </row>
    <row r="169" spans="1:48" s="1881" customFormat="1" x14ac:dyDescent="0.2">
      <c r="A169" s="1719"/>
      <c r="B169" s="618" t="s">
        <v>509</v>
      </c>
      <c r="C169" s="1914">
        <v>8</v>
      </c>
      <c r="D169" s="1914"/>
      <c r="E169" s="2502"/>
      <c r="F169" s="2502"/>
      <c r="G169" s="1869"/>
      <c r="H169" s="2055">
        <v>11</v>
      </c>
      <c r="I169" s="2503"/>
      <c r="J169" s="1731"/>
      <c r="K169" s="185"/>
      <c r="L169" s="618" t="s">
        <v>509</v>
      </c>
      <c r="M169" s="1817">
        <v>7</v>
      </c>
      <c r="N169" s="1816"/>
      <c r="O169" s="1916"/>
      <c r="P169" s="1916"/>
      <c r="Q169" s="2125"/>
      <c r="R169" s="618">
        <v>11</v>
      </c>
      <c r="S169" s="1917"/>
      <c r="U169" s="1743">
        <f t="shared" ref="U169:AA172" si="54">M169-C169</f>
        <v>-1</v>
      </c>
      <c r="V169" s="1743">
        <f t="shared" si="54"/>
        <v>0</v>
      </c>
      <c r="W169" s="1743">
        <f t="shared" si="54"/>
        <v>0</v>
      </c>
      <c r="X169" s="1743">
        <f t="shared" si="54"/>
        <v>0</v>
      </c>
      <c r="Y169" s="1744">
        <f t="shared" si="54"/>
        <v>0</v>
      </c>
      <c r="Z169" s="2057">
        <f t="shared" si="54"/>
        <v>0</v>
      </c>
      <c r="AA169" s="2058">
        <f t="shared" si="54"/>
        <v>0</v>
      </c>
      <c r="AV169" s="2786"/>
    </row>
    <row r="170" spans="1:48" x14ac:dyDescent="0.2">
      <c r="A170" s="1729"/>
      <c r="B170" s="333" t="s">
        <v>156</v>
      </c>
      <c r="C170" s="1721">
        <v>8</v>
      </c>
      <c r="D170" s="1721">
        <f>163000/2</f>
        <v>81500</v>
      </c>
      <c r="E170" s="1722">
        <f>$D$170*$C$170*0.85</f>
        <v>554200</v>
      </c>
      <c r="F170" s="1722">
        <f>$D$170*$C$170*0.15</f>
        <v>97800</v>
      </c>
      <c r="G170" s="1723"/>
      <c r="H170" s="1724">
        <f>H169</f>
        <v>11</v>
      </c>
      <c r="I170" s="1915">
        <f>H170*D170</f>
        <v>896500</v>
      </c>
      <c r="J170" s="1902">
        <f>D170/6</f>
        <v>13583.333333333334</v>
      </c>
      <c r="K170" s="1918"/>
      <c r="L170" s="1763" t="s">
        <v>556</v>
      </c>
      <c r="M170" s="1919">
        <f>15*M169</f>
        <v>105</v>
      </c>
      <c r="N170" s="1920">
        <f>140000/12</f>
        <v>11666.666666666666</v>
      </c>
      <c r="O170" s="1921">
        <f>+N170*M170*0.85</f>
        <v>1041250</v>
      </c>
      <c r="P170" s="1922">
        <f>+N170*M170*0.15</f>
        <v>183750</v>
      </c>
      <c r="Q170" s="1766"/>
      <c r="R170" s="1923">
        <f>15*R169</f>
        <v>165</v>
      </c>
      <c r="S170" s="1924">
        <f>+N170*R170</f>
        <v>1925000</v>
      </c>
      <c r="U170" s="1743">
        <f t="shared" si="54"/>
        <v>97</v>
      </c>
      <c r="V170" s="2865">
        <f>N170-D170/6</f>
        <v>-1916.6666666666679</v>
      </c>
      <c r="W170" s="1743">
        <f t="shared" si="54"/>
        <v>487050</v>
      </c>
      <c r="X170" s="1743">
        <f t="shared" si="54"/>
        <v>85950</v>
      </c>
      <c r="Y170" s="1728">
        <f t="shared" si="54"/>
        <v>0</v>
      </c>
      <c r="Z170" s="1769">
        <f t="shared" si="54"/>
        <v>154</v>
      </c>
      <c r="AA170" s="2866">
        <f>S170-I170/6</f>
        <v>1775583.3333333333</v>
      </c>
      <c r="AV170" s="1874"/>
    </row>
    <row r="171" spans="1:48" x14ac:dyDescent="0.2">
      <c r="A171" s="1729"/>
      <c r="B171" s="333" t="s">
        <v>186</v>
      </c>
      <c r="C171" s="1721">
        <v>8</v>
      </c>
      <c r="D171" s="1721">
        <v>10500</v>
      </c>
      <c r="E171" s="1722">
        <f>$D$171*$C$171*0.85</f>
        <v>71400</v>
      </c>
      <c r="F171" s="1722">
        <f>$D$171*$C$171*0.15</f>
        <v>12600</v>
      </c>
      <c r="G171" s="1723"/>
      <c r="H171" s="1724">
        <f>H169</f>
        <v>11</v>
      </c>
      <c r="I171" s="1915">
        <f>H171*D171</f>
        <v>115500</v>
      </c>
      <c r="K171" s="1918"/>
      <c r="L171" s="1763" t="s">
        <v>442</v>
      </c>
      <c r="M171" s="1919">
        <f>15*M169</f>
        <v>105</v>
      </c>
      <c r="N171" s="1920">
        <f>21000/12</f>
        <v>1750</v>
      </c>
      <c r="O171" s="1921">
        <f>+N171*M171*0.85</f>
        <v>156187.5</v>
      </c>
      <c r="P171" s="1922">
        <f>+N171*M171*0.15</f>
        <v>27562.5</v>
      </c>
      <c r="Q171" s="1766"/>
      <c r="R171" s="1923">
        <f>15*R169</f>
        <v>165</v>
      </c>
      <c r="S171" s="1924">
        <f>+N171*R171</f>
        <v>288750</v>
      </c>
      <c r="U171" s="1727">
        <f t="shared" si="54"/>
        <v>97</v>
      </c>
      <c r="V171" s="2865">
        <f>N171-D171/6</f>
        <v>0</v>
      </c>
      <c r="W171" s="1727">
        <f t="shared" si="54"/>
        <v>84787.5</v>
      </c>
      <c r="X171" s="1743">
        <f t="shared" si="54"/>
        <v>14962.5</v>
      </c>
      <c r="Y171" s="1728">
        <f t="shared" si="54"/>
        <v>0</v>
      </c>
      <c r="Z171" s="1769">
        <f t="shared" si="54"/>
        <v>154</v>
      </c>
      <c r="AA171" s="2866">
        <f>S171-I171/6</f>
        <v>269500</v>
      </c>
      <c r="AF171" s="1874"/>
    </row>
    <row r="172" spans="1:48" x14ac:dyDescent="0.2">
      <c r="A172" s="1729"/>
      <c r="B172" s="1925" t="s">
        <v>187</v>
      </c>
      <c r="C172" s="1721">
        <v>1</v>
      </c>
      <c r="D172" s="1721">
        <v>108000</v>
      </c>
      <c r="E172" s="1722">
        <f>$D$172*$C$172*0.85</f>
        <v>91800</v>
      </c>
      <c r="F172" s="1722">
        <f>$D$172*$C$172*0.15</f>
        <v>16200</v>
      </c>
      <c r="G172" s="1723"/>
      <c r="H172" s="1724">
        <f>H169</f>
        <v>11</v>
      </c>
      <c r="I172" s="1915">
        <v>353500</v>
      </c>
      <c r="K172" s="1918"/>
      <c r="L172" s="2817" t="s">
        <v>769</v>
      </c>
      <c r="M172" s="1919">
        <v>15</v>
      </c>
      <c r="N172" s="1926">
        <v>18000</v>
      </c>
      <c r="O172" s="1921">
        <f>+N172*M172*0.85</f>
        <v>229500</v>
      </c>
      <c r="P172" s="1922">
        <f>+N172*M172*0.15</f>
        <v>40500</v>
      </c>
      <c r="Q172" s="1766"/>
      <c r="R172" s="1923">
        <f>S172/N172</f>
        <v>49.097222222222221</v>
      </c>
      <c r="S172" s="2810">
        <v>883750</v>
      </c>
      <c r="U172" s="1727">
        <f t="shared" si="54"/>
        <v>14</v>
      </c>
      <c r="V172" s="2865">
        <f>N172-D172/6</f>
        <v>0</v>
      </c>
      <c r="W172" s="1727">
        <f t="shared" si="54"/>
        <v>137700</v>
      </c>
      <c r="X172" s="1743">
        <f t="shared" si="54"/>
        <v>24300</v>
      </c>
      <c r="Y172" s="1728">
        <f t="shared" si="54"/>
        <v>0</v>
      </c>
      <c r="Z172" s="1769">
        <f t="shared" si="54"/>
        <v>38.097222222222221</v>
      </c>
      <c r="AA172" s="2866">
        <f>S172-I172/6</f>
        <v>824833.33333333337</v>
      </c>
      <c r="AF172" s="1874"/>
    </row>
    <row r="173" spans="1:48" ht="13.5" thickBot="1" x14ac:dyDescent="0.25">
      <c r="A173" s="282"/>
      <c r="B173" s="1895"/>
      <c r="C173" s="1896"/>
      <c r="D173" s="1896"/>
      <c r="E173" s="1896">
        <f>SUM(E170:E172)</f>
        <v>717400</v>
      </c>
      <c r="F173" s="1896">
        <f>SUM(F170:F172)</f>
        <v>126600</v>
      </c>
      <c r="G173" s="1897"/>
      <c r="H173" s="1896"/>
      <c r="I173" s="1898">
        <f>SUM(I170:I172)</f>
        <v>1365500</v>
      </c>
      <c r="J173" s="1930"/>
      <c r="K173" s="185"/>
      <c r="L173" s="1778" t="s">
        <v>13</v>
      </c>
      <c r="M173" s="1779"/>
      <c r="N173" s="1779"/>
      <c r="O173" s="1779">
        <f>SUM(O170:O172)</f>
        <v>1426937.5</v>
      </c>
      <c r="P173" s="1779">
        <f>SUM(P170:P172)</f>
        <v>251812.5</v>
      </c>
      <c r="Q173" s="1766"/>
      <c r="R173" s="1779"/>
      <c r="S173" s="1927">
        <f>SUM(S170:S172)</f>
        <v>3097500</v>
      </c>
      <c r="U173" s="1781"/>
      <c r="V173" s="1781"/>
      <c r="W173" s="1782">
        <f>SUM(W170:W172)</f>
        <v>709537.5</v>
      </c>
      <c r="X173" s="1782">
        <f>SUM(X170:X172)</f>
        <v>125212.5</v>
      </c>
      <c r="Y173" s="1782">
        <f>SUM(Y170:Y172)</f>
        <v>0</v>
      </c>
      <c r="Z173" s="1782"/>
      <c r="AA173" s="1782">
        <f>SUM(AA170:AA172)</f>
        <v>2869916.6666666665</v>
      </c>
    </row>
    <row r="174" spans="1:48" x14ac:dyDescent="0.2">
      <c r="A174" s="1871"/>
      <c r="B174" s="1745" t="s">
        <v>188</v>
      </c>
      <c r="K174" s="464"/>
      <c r="L174" s="3244" t="s">
        <v>557</v>
      </c>
      <c r="M174" s="3244"/>
      <c r="N174" s="3244"/>
      <c r="O174" s="3244"/>
      <c r="P174" s="3244"/>
      <c r="Q174" s="3244"/>
      <c r="R174" s="3244"/>
      <c r="S174" s="1928">
        <f>-S173+'[6]פורמט משרד'!$U$235</f>
        <v>316250</v>
      </c>
    </row>
    <row r="175" spans="1:48" ht="13.5" thickBot="1" x14ac:dyDescent="0.25">
      <c r="A175" s="1871"/>
      <c r="B175" s="1745"/>
      <c r="K175" s="200"/>
      <c r="L175" s="3245" t="s">
        <v>558</v>
      </c>
      <c r="M175" s="3246"/>
      <c r="N175" s="3246"/>
      <c r="O175" s="3246"/>
      <c r="P175" s="3246"/>
      <c r="Q175" s="3246"/>
      <c r="R175" s="3247"/>
      <c r="S175" s="1929"/>
    </row>
    <row r="176" spans="1:48" ht="13.5" thickBot="1" x14ac:dyDescent="0.25">
      <c r="A176" s="1871"/>
      <c r="B176" s="1745"/>
      <c r="O176" s="1930">
        <f>-O173+[5]צרפת!O193</f>
        <v>0</v>
      </c>
      <c r="P176" s="1930">
        <f>-P173+[5]צרפת!P193</f>
        <v>0</v>
      </c>
      <c r="Q176" s="1930">
        <f>-Q173+[5]צרפת!Q193</f>
        <v>0</v>
      </c>
      <c r="R176" s="1930">
        <f>-R173+[5]צרפת!R193</f>
        <v>0</v>
      </c>
      <c r="S176" s="1930">
        <f>-S173+[5]צרפת!S193</f>
        <v>0</v>
      </c>
      <c r="AJ176" s="1874"/>
    </row>
    <row r="177" spans="1:48" x14ac:dyDescent="0.2">
      <c r="A177" s="182">
        <v>11</v>
      </c>
      <c r="B177" s="1936" t="s">
        <v>189</v>
      </c>
      <c r="C177" s="3216" t="s">
        <v>87</v>
      </c>
      <c r="D177" s="3216"/>
      <c r="E177" s="3216"/>
      <c r="F177" s="1937"/>
      <c r="G177" s="1938"/>
      <c r="H177" s="3217" t="s">
        <v>88</v>
      </c>
      <c r="I177" s="3218"/>
      <c r="K177" s="182">
        <v>11</v>
      </c>
      <c r="L177" s="1936" t="s">
        <v>68</v>
      </c>
      <c r="M177" s="3207" t="s">
        <v>813</v>
      </c>
      <c r="N177" s="3208"/>
      <c r="O177" s="3209"/>
      <c r="P177" s="2045"/>
      <c r="Q177" s="1938"/>
      <c r="R177" s="3231" t="s">
        <v>88</v>
      </c>
      <c r="S177" s="3232"/>
      <c r="U177" s="3216" t="s">
        <v>506</v>
      </c>
      <c r="V177" s="3216"/>
      <c r="W177" s="3216"/>
      <c r="X177" s="1937"/>
      <c r="Y177" s="1939"/>
      <c r="Z177" s="3217" t="s">
        <v>88</v>
      </c>
      <c r="AA177" s="3218"/>
      <c r="AV177" s="1874"/>
    </row>
    <row r="178" spans="1:48" ht="38.25" x14ac:dyDescent="0.2">
      <c r="A178" s="185"/>
      <c r="B178" s="590" t="s">
        <v>89</v>
      </c>
      <c r="C178" s="1831" t="s">
        <v>54</v>
      </c>
      <c r="D178" s="590" t="s">
        <v>91</v>
      </c>
      <c r="E178" s="590" t="s">
        <v>105</v>
      </c>
      <c r="F178" s="590" t="s">
        <v>106</v>
      </c>
      <c r="G178" s="1723"/>
      <c r="H178" s="1831" t="s">
        <v>54</v>
      </c>
      <c r="I178" s="1909" t="s">
        <v>92</v>
      </c>
      <c r="K178" s="185"/>
      <c r="L178" s="590" t="s">
        <v>89</v>
      </c>
      <c r="M178" s="1831" t="s">
        <v>54</v>
      </c>
      <c r="N178" s="590" t="s">
        <v>91</v>
      </c>
      <c r="O178" s="1830" t="s">
        <v>530</v>
      </c>
      <c r="P178" s="590" t="s">
        <v>106</v>
      </c>
      <c r="Q178" s="1766"/>
      <c r="R178" s="1831" t="s">
        <v>54</v>
      </c>
      <c r="S178" s="1832" t="s">
        <v>502</v>
      </c>
      <c r="U178" s="590" t="s">
        <v>90</v>
      </c>
      <c r="V178" s="590" t="s">
        <v>91</v>
      </c>
      <c r="W178" s="1830" t="s">
        <v>507</v>
      </c>
      <c r="X178" s="590"/>
      <c r="Y178" s="1766"/>
      <c r="Z178" s="1831" t="s">
        <v>54</v>
      </c>
      <c r="AA178" s="1832" t="s">
        <v>507</v>
      </c>
      <c r="AF178" s="1874"/>
    </row>
    <row r="179" spans="1:48" x14ac:dyDescent="0.2">
      <c r="A179" s="185"/>
      <c r="B179" s="618" t="s">
        <v>509</v>
      </c>
      <c r="C179" s="1721">
        <v>4</v>
      </c>
      <c r="D179" s="1721"/>
      <c r="E179" s="1722"/>
      <c r="F179" s="1722"/>
      <c r="G179" s="1723"/>
      <c r="H179" s="1724"/>
      <c r="I179" s="1725"/>
      <c r="K179" s="185"/>
      <c r="L179" s="618" t="s">
        <v>509</v>
      </c>
      <c r="M179" s="1817">
        <v>4</v>
      </c>
      <c r="N179" s="1899"/>
      <c r="O179" s="1916"/>
      <c r="P179" s="1899"/>
      <c r="Q179" s="1766"/>
      <c r="R179" s="1931"/>
      <c r="S179" s="1917"/>
      <c r="U179" s="1743">
        <f t="shared" ref="U179:AA182" si="55">M179-C179</f>
        <v>0</v>
      </c>
      <c r="V179" s="1743">
        <f t="shared" si="55"/>
        <v>0</v>
      </c>
      <c r="W179" s="1743">
        <f t="shared" si="55"/>
        <v>0</v>
      </c>
      <c r="X179" s="1743">
        <f t="shared" si="55"/>
        <v>0</v>
      </c>
      <c r="Y179" s="1728">
        <f t="shared" si="55"/>
        <v>0</v>
      </c>
      <c r="Z179" s="1769">
        <f t="shared" si="55"/>
        <v>0</v>
      </c>
      <c r="AA179" s="1770">
        <f t="shared" si="55"/>
        <v>0</v>
      </c>
      <c r="AG179" s="1874"/>
      <c r="AH179" s="1874"/>
    </row>
    <row r="180" spans="1:48" x14ac:dyDescent="0.2">
      <c r="A180" s="1729"/>
      <c r="B180" s="333" t="s">
        <v>190</v>
      </c>
      <c r="C180" s="1721">
        <v>4</v>
      </c>
      <c r="D180" s="1721">
        <v>75000</v>
      </c>
      <c r="E180" s="1722">
        <f>D180*C180*0.85</f>
        <v>255000</v>
      </c>
      <c r="F180" s="1722">
        <f>D180*C180*0.15</f>
        <v>45000</v>
      </c>
      <c r="G180" s="1723"/>
      <c r="H180" s="1724"/>
      <c r="I180" s="1725"/>
      <c r="K180" s="1918"/>
      <c r="L180" s="1932" t="s">
        <v>781</v>
      </c>
      <c r="M180" s="1926">
        <f>6*M179</f>
        <v>24</v>
      </c>
      <c r="N180" s="1926">
        <f>150000/12</f>
        <v>12500</v>
      </c>
      <c r="O180" s="1921">
        <f>+N180*M180*0.85</f>
        <v>255000</v>
      </c>
      <c r="P180" s="1922">
        <f>+N180*M180*0.15</f>
        <v>45000</v>
      </c>
      <c r="Q180" s="1766"/>
      <c r="R180" s="1933"/>
      <c r="S180" s="1934"/>
      <c r="U180" s="1743">
        <f t="shared" si="55"/>
        <v>20</v>
      </c>
      <c r="V180" s="1743">
        <f>N180-D180/6</f>
        <v>0</v>
      </c>
      <c r="W180" s="1743">
        <f t="shared" si="55"/>
        <v>0</v>
      </c>
      <c r="X180" s="1743">
        <f t="shared" si="55"/>
        <v>0</v>
      </c>
      <c r="Y180" s="1728">
        <f t="shared" si="55"/>
        <v>0</v>
      </c>
      <c r="Z180" s="1769">
        <f t="shared" si="55"/>
        <v>0</v>
      </c>
      <c r="AA180" s="1770">
        <f t="shared" si="55"/>
        <v>0</v>
      </c>
    </row>
    <row r="181" spans="1:48" ht="32.25" customHeight="1" x14ac:dyDescent="0.2">
      <c r="A181" s="1729"/>
      <c r="B181" s="333" t="s">
        <v>191</v>
      </c>
      <c r="C181" s="1721">
        <v>12</v>
      </c>
      <c r="D181" s="1721">
        <v>3300</v>
      </c>
      <c r="E181" s="1722">
        <f>D181*C181*0.85</f>
        <v>33660</v>
      </c>
      <c r="F181" s="1722">
        <f>D181*C181*0.15</f>
        <v>5940</v>
      </c>
      <c r="G181" s="1723"/>
      <c r="H181" s="1724"/>
      <c r="I181" s="1725"/>
      <c r="K181" s="1918"/>
      <c r="L181" s="1932" t="s">
        <v>191</v>
      </c>
      <c r="M181" s="1926">
        <v>12</v>
      </c>
      <c r="N181" s="1926">
        <f>D181</f>
        <v>3300</v>
      </c>
      <c r="O181" s="1921">
        <f>+N181*M181*0.85</f>
        <v>33660</v>
      </c>
      <c r="P181" s="1922">
        <f>+N181*M181*0.15</f>
        <v>5940</v>
      </c>
      <c r="Q181" s="1766"/>
      <c r="R181" s="1933"/>
      <c r="S181" s="1934"/>
      <c r="U181" s="1727">
        <f t="shared" si="55"/>
        <v>0</v>
      </c>
      <c r="V181" s="1727">
        <f>N181-D181</f>
        <v>0</v>
      </c>
      <c r="W181" s="1727">
        <f t="shared" si="55"/>
        <v>0</v>
      </c>
      <c r="X181" s="1743">
        <f t="shared" si="55"/>
        <v>0</v>
      </c>
      <c r="Y181" s="1728">
        <f t="shared" si="55"/>
        <v>0</v>
      </c>
      <c r="Z181" s="1769">
        <f t="shared" si="55"/>
        <v>0</v>
      </c>
      <c r="AA181" s="1770">
        <f t="shared" si="55"/>
        <v>0</v>
      </c>
    </row>
    <row r="182" spans="1:48" ht="25.5" x14ac:dyDescent="0.2">
      <c r="A182" s="1729"/>
      <c r="B182" s="333" t="s">
        <v>192</v>
      </c>
      <c r="C182" s="1721">
        <v>4</v>
      </c>
      <c r="D182" s="1721">
        <v>7500</v>
      </c>
      <c r="E182" s="1722">
        <f>D182*C182*0.85</f>
        <v>25500</v>
      </c>
      <c r="F182" s="1722">
        <f>D182*C182*0.15</f>
        <v>4500</v>
      </c>
      <c r="G182" s="1723"/>
      <c r="H182" s="1724"/>
      <c r="I182" s="1725"/>
      <c r="K182" s="1918"/>
      <c r="L182" s="1932" t="s">
        <v>192</v>
      </c>
      <c r="M182" s="1926">
        <f>6*M179</f>
        <v>24</v>
      </c>
      <c r="N182" s="1926">
        <f>D182/6</f>
        <v>1250</v>
      </c>
      <c r="O182" s="1921">
        <f>+N182*M182*0.85</f>
        <v>25500</v>
      </c>
      <c r="P182" s="1922">
        <f>+N182*M182*0.15</f>
        <v>4500</v>
      </c>
      <c r="Q182" s="1766"/>
      <c r="R182" s="1933"/>
      <c r="S182" s="1934"/>
      <c r="U182" s="1727">
        <f t="shared" si="55"/>
        <v>20</v>
      </c>
      <c r="V182" s="1727">
        <f>N182-D182/6</f>
        <v>0</v>
      </c>
      <c r="W182" s="1727">
        <f t="shared" si="55"/>
        <v>0</v>
      </c>
      <c r="X182" s="1743">
        <f t="shared" si="55"/>
        <v>0</v>
      </c>
      <c r="Y182" s="1728">
        <f t="shared" si="55"/>
        <v>0</v>
      </c>
      <c r="Z182" s="1769">
        <f t="shared" si="55"/>
        <v>0</v>
      </c>
      <c r="AA182" s="1770">
        <f t="shared" si="55"/>
        <v>0</v>
      </c>
    </row>
    <row r="183" spans="1:48" ht="13.5" thickBot="1" x14ac:dyDescent="0.25">
      <c r="A183" s="200"/>
      <c r="B183" s="1895"/>
      <c r="C183" s="1896"/>
      <c r="D183" s="1896"/>
      <c r="E183" s="1896">
        <f>SUM(E180:E182)</f>
        <v>314160</v>
      </c>
      <c r="F183" s="1896">
        <f>SUM(F180:F182)</f>
        <v>55440</v>
      </c>
      <c r="G183" s="1897"/>
      <c r="H183" s="1896"/>
      <c r="I183" s="1898"/>
      <c r="K183" s="185"/>
      <c r="L183" s="1778" t="s">
        <v>13</v>
      </c>
      <c r="M183" s="1779"/>
      <c r="N183" s="1779"/>
      <c r="O183" s="1779">
        <f>SUM(O180:O182)</f>
        <v>314160</v>
      </c>
      <c r="P183" s="1779">
        <f>SUM(P180:P182)</f>
        <v>55440</v>
      </c>
      <c r="Q183" s="1766"/>
      <c r="R183" s="1779"/>
      <c r="S183" s="1780"/>
      <c r="U183" s="1781"/>
      <c r="V183" s="1781"/>
      <c r="W183" s="1782">
        <f>SUM(W180:W182)</f>
        <v>0</v>
      </c>
      <c r="X183" s="1782">
        <f>SUM(X180:X182)</f>
        <v>0</v>
      </c>
      <c r="Y183" s="1782">
        <f>SUM(Y180:Y182)</f>
        <v>0</v>
      </c>
      <c r="Z183" s="1782">
        <f>SUM(Z180:Z182)</f>
        <v>0</v>
      </c>
      <c r="AA183" s="1782">
        <f>SUM(AA180:AA182)</f>
        <v>0</v>
      </c>
    </row>
    <row r="184" spans="1:48" ht="13.5" thickBot="1" x14ac:dyDescent="0.25">
      <c r="A184" s="1871"/>
      <c r="B184" s="591"/>
      <c r="K184" s="200"/>
      <c r="L184" s="3233" t="s">
        <v>815</v>
      </c>
      <c r="M184" s="3234"/>
      <c r="N184" s="3234"/>
      <c r="O184" s="3234"/>
      <c r="P184" s="3234"/>
      <c r="Q184" s="3234"/>
      <c r="R184" s="3235"/>
      <c r="S184" s="1929"/>
    </row>
    <row r="185" spans="1:48" ht="13.5" thickBot="1" x14ac:dyDescent="0.25">
      <c r="A185" s="1871"/>
      <c r="B185" s="591"/>
      <c r="O185" s="1930">
        <f>O183-'[7]פורמט משרד מקוצר'!$Q$243</f>
        <v>11560</v>
      </c>
      <c r="P185" s="1902"/>
    </row>
    <row r="186" spans="1:48" ht="30" customHeight="1" x14ac:dyDescent="0.2">
      <c r="A186" s="182">
        <v>12</v>
      </c>
      <c r="B186" s="1936" t="s">
        <v>193</v>
      </c>
      <c r="C186" s="3216" t="s">
        <v>87</v>
      </c>
      <c r="D186" s="3216"/>
      <c r="E186" s="3216"/>
      <c r="F186" s="1937"/>
      <c r="G186" s="1938"/>
      <c r="H186" s="3217" t="s">
        <v>88</v>
      </c>
      <c r="I186" s="3218"/>
      <c r="K186" s="182">
        <v>12</v>
      </c>
      <c r="L186" s="1936" t="s">
        <v>193</v>
      </c>
      <c r="M186" s="3207" t="s">
        <v>813</v>
      </c>
      <c r="N186" s="3208"/>
      <c r="O186" s="3209"/>
      <c r="P186" s="2045"/>
      <c r="Q186" s="1938"/>
      <c r="R186" s="3217" t="s">
        <v>88</v>
      </c>
      <c r="S186" s="3218"/>
      <c r="U186" s="3216" t="s">
        <v>506</v>
      </c>
      <c r="V186" s="3216"/>
      <c r="W186" s="3216"/>
      <c r="X186" s="1937"/>
      <c r="Y186" s="1939"/>
      <c r="Z186" s="3217" t="s">
        <v>88</v>
      </c>
      <c r="AA186" s="3218"/>
      <c r="AH186" s="1874"/>
    </row>
    <row r="187" spans="1:48" ht="38.25" x14ac:dyDescent="0.2">
      <c r="A187" s="185"/>
      <c r="B187" s="590" t="s">
        <v>89</v>
      </c>
      <c r="C187" s="1831" t="s">
        <v>54</v>
      </c>
      <c r="D187" s="590" t="s">
        <v>91</v>
      </c>
      <c r="E187" s="590" t="s">
        <v>105</v>
      </c>
      <c r="F187" s="590" t="s">
        <v>106</v>
      </c>
      <c r="G187" s="1723"/>
      <c r="H187" s="1831" t="s">
        <v>54</v>
      </c>
      <c r="I187" s="1909" t="s">
        <v>92</v>
      </c>
      <c r="K187" s="185"/>
      <c r="L187" s="590" t="s">
        <v>89</v>
      </c>
      <c r="M187" s="1831" t="s">
        <v>54</v>
      </c>
      <c r="N187" s="590" t="s">
        <v>91</v>
      </c>
      <c r="O187" s="590" t="s">
        <v>105</v>
      </c>
      <c r="P187" s="590" t="s">
        <v>106</v>
      </c>
      <c r="Q187" s="1723"/>
      <c r="R187" s="1831" t="s">
        <v>54</v>
      </c>
      <c r="S187" s="1909" t="s">
        <v>92</v>
      </c>
      <c r="U187" s="590" t="s">
        <v>90</v>
      </c>
      <c r="V187" s="590" t="s">
        <v>91</v>
      </c>
      <c r="W187" s="1830" t="s">
        <v>507</v>
      </c>
      <c r="X187" s="590"/>
      <c r="Y187" s="1766"/>
      <c r="Z187" s="1831" t="s">
        <v>54</v>
      </c>
      <c r="AA187" s="1832" t="s">
        <v>507</v>
      </c>
      <c r="AF187" s="1874"/>
      <c r="AG187" s="1874"/>
      <c r="AH187" s="1874"/>
    </row>
    <row r="188" spans="1:48" x14ac:dyDescent="0.2">
      <c r="A188" s="1729"/>
      <c r="B188" s="333" t="s">
        <v>194</v>
      </c>
      <c r="C188" s="1721">
        <v>0</v>
      </c>
      <c r="D188" s="1721">
        <v>78750</v>
      </c>
      <c r="E188" s="1722">
        <f>D188*C188*0.85</f>
        <v>0</v>
      </c>
      <c r="F188" s="1722">
        <f>D188*C188*0.15</f>
        <v>0</v>
      </c>
      <c r="G188" s="1723"/>
      <c r="H188" s="1721">
        <v>1</v>
      </c>
      <c r="I188" s="1935">
        <f>H188*D188</f>
        <v>78750</v>
      </c>
      <c r="K188" s="1729"/>
      <c r="L188" s="333" t="s">
        <v>194</v>
      </c>
      <c r="M188" s="1721">
        <v>0</v>
      </c>
      <c r="N188" s="1721">
        <v>78750</v>
      </c>
      <c r="O188" s="1722">
        <f>N188*M188*0.85</f>
        <v>0</v>
      </c>
      <c r="P188" s="1722">
        <f>N188*M188*0.15</f>
        <v>0</v>
      </c>
      <c r="Q188" s="1723"/>
      <c r="R188" s="1721">
        <v>1</v>
      </c>
      <c r="S188" s="1935">
        <f>R188*N188</f>
        <v>78750</v>
      </c>
      <c r="U188" s="1743">
        <f t="shared" ref="U188:AA189" si="56">M188-C188</f>
        <v>0</v>
      </c>
      <c r="V188" s="1743">
        <f t="shared" si="56"/>
        <v>0</v>
      </c>
      <c r="W188" s="1743">
        <f t="shared" si="56"/>
        <v>0</v>
      </c>
      <c r="X188" s="1743">
        <f t="shared" si="56"/>
        <v>0</v>
      </c>
      <c r="Y188" s="1728">
        <f t="shared" si="56"/>
        <v>0</v>
      </c>
      <c r="Z188" s="1769">
        <f t="shared" si="56"/>
        <v>0</v>
      </c>
      <c r="AA188" s="1770">
        <f t="shared" si="56"/>
        <v>0</v>
      </c>
      <c r="AI188" s="1874"/>
    </row>
    <row r="189" spans="1:48" x14ac:dyDescent="0.2">
      <c r="A189" s="1729"/>
      <c r="B189" s="333" t="s">
        <v>195</v>
      </c>
      <c r="C189" s="1721">
        <v>0</v>
      </c>
      <c r="D189" s="1721">
        <v>5750</v>
      </c>
      <c r="E189" s="1722">
        <f>D189*C189*0.85</f>
        <v>0</v>
      </c>
      <c r="F189" s="1722">
        <f>D189*C189*0.15</f>
        <v>0</v>
      </c>
      <c r="G189" s="1723"/>
      <c r="H189" s="1721">
        <v>1</v>
      </c>
      <c r="I189" s="1935">
        <f>H189*D189</f>
        <v>5750</v>
      </c>
      <c r="K189" s="1729"/>
      <c r="L189" s="333" t="s">
        <v>195</v>
      </c>
      <c r="M189" s="1721">
        <v>0</v>
      </c>
      <c r="N189" s="1721">
        <v>5750</v>
      </c>
      <c r="O189" s="1722">
        <f>N189*M189*0.85</f>
        <v>0</v>
      </c>
      <c r="P189" s="1722">
        <f>N189*M189*0.15</f>
        <v>0</v>
      </c>
      <c r="Q189" s="1723"/>
      <c r="R189" s="1721">
        <v>1</v>
      </c>
      <c r="S189" s="1935">
        <f>R189*N189</f>
        <v>5750</v>
      </c>
      <c r="U189" s="1743">
        <f t="shared" si="56"/>
        <v>0</v>
      </c>
      <c r="V189" s="1743">
        <f t="shared" si="56"/>
        <v>0</v>
      </c>
      <c r="W189" s="1743">
        <f t="shared" si="56"/>
        <v>0</v>
      </c>
      <c r="X189" s="1743">
        <f t="shared" si="56"/>
        <v>0</v>
      </c>
      <c r="Y189" s="1728">
        <f t="shared" si="56"/>
        <v>0</v>
      </c>
      <c r="Z189" s="1769">
        <f t="shared" si="56"/>
        <v>0</v>
      </c>
      <c r="AA189" s="1770">
        <f t="shared" si="56"/>
        <v>0</v>
      </c>
    </row>
    <row r="190" spans="1:48" ht="13.5" thickBot="1" x14ac:dyDescent="0.25">
      <c r="A190" s="200"/>
      <c r="B190" s="1895"/>
      <c r="C190" s="1896"/>
      <c r="D190" s="1896"/>
      <c r="E190" s="1896">
        <f>SUM(E188:E189)</f>
        <v>0</v>
      </c>
      <c r="F190" s="1896">
        <f>SUM(F188:F189)</f>
        <v>0</v>
      </c>
      <c r="G190" s="1897"/>
      <c r="H190" s="1896"/>
      <c r="I190" s="1898">
        <f>SUM(I188:I189)</f>
        <v>84500</v>
      </c>
      <c r="K190" s="200"/>
      <c r="L190" s="1895"/>
      <c r="M190" s="1896"/>
      <c r="N190" s="1896"/>
      <c r="O190" s="1896">
        <f>SUM(O188:O189)</f>
        <v>0</v>
      </c>
      <c r="P190" s="1896">
        <f>SUM(P188:P189)</f>
        <v>0</v>
      </c>
      <c r="Q190" s="1897"/>
      <c r="R190" s="1896"/>
      <c r="S190" s="1898">
        <f>SUM(S188:S189)</f>
        <v>84500</v>
      </c>
      <c r="U190" s="1781"/>
      <c r="V190" s="1781"/>
      <c r="W190" s="1782">
        <f>SUM(W188:W189)</f>
        <v>0</v>
      </c>
      <c r="X190" s="1782">
        <f>SUM(X188:X189)</f>
        <v>0</v>
      </c>
      <c r="Y190" s="1782">
        <f>SUM(Y187:Y189)</f>
        <v>0</v>
      </c>
      <c r="Z190" s="1782">
        <f>SUM(Z187:Z189)</f>
        <v>0</v>
      </c>
      <c r="AA190" s="1782">
        <f>SUM(AA188:AA189)</f>
        <v>0</v>
      </c>
    </row>
    <row r="191" spans="1:48" ht="13.5" thickBot="1" x14ac:dyDescent="0.25">
      <c r="A191" s="1871"/>
      <c r="B191" s="591"/>
    </row>
    <row r="192" spans="1:48" ht="25.5" x14ac:dyDescent="0.2">
      <c r="A192" s="182">
        <v>13</v>
      </c>
      <c r="B192" s="1936" t="s">
        <v>196</v>
      </c>
      <c r="C192" s="3216" t="s">
        <v>87</v>
      </c>
      <c r="D192" s="3216"/>
      <c r="E192" s="3216"/>
      <c r="F192" s="1937"/>
      <c r="G192" s="1938"/>
      <c r="H192" s="3217" t="s">
        <v>88</v>
      </c>
      <c r="I192" s="3218"/>
      <c r="K192" s="182">
        <v>13</v>
      </c>
      <c r="L192" s="1936" t="s">
        <v>69</v>
      </c>
      <c r="M192" s="3207" t="s">
        <v>813</v>
      </c>
      <c r="N192" s="3208"/>
      <c r="O192" s="3209"/>
      <c r="P192" s="1937"/>
      <c r="Q192" s="1938"/>
      <c r="R192" s="3231" t="s">
        <v>88</v>
      </c>
      <c r="S192" s="3232"/>
      <c r="U192" s="3216" t="s">
        <v>506</v>
      </c>
      <c r="V192" s="3216"/>
      <c r="W192" s="3216"/>
      <c r="X192" s="1937"/>
      <c r="Y192" s="1939"/>
      <c r="Z192" s="3217" t="s">
        <v>88</v>
      </c>
      <c r="AA192" s="3218"/>
    </row>
    <row r="193" spans="1:39" ht="38.25" x14ac:dyDescent="0.2">
      <c r="A193" s="185"/>
      <c r="B193" s="590" t="s">
        <v>89</v>
      </c>
      <c r="C193" s="1831" t="s">
        <v>54</v>
      </c>
      <c r="D193" s="590" t="s">
        <v>91</v>
      </c>
      <c r="E193" s="590" t="s">
        <v>105</v>
      </c>
      <c r="F193" s="590" t="s">
        <v>106</v>
      </c>
      <c r="G193" s="1723"/>
      <c r="H193" s="1831" t="s">
        <v>54</v>
      </c>
      <c r="I193" s="1909" t="s">
        <v>92</v>
      </c>
      <c r="K193" s="185"/>
      <c r="L193" s="590" t="s">
        <v>89</v>
      </c>
      <c r="M193" s="1831" t="e">
        <f>-"."&lt;0-9</f>
        <v>#VALUE!</v>
      </c>
      <c r="N193" s="590" t="s">
        <v>91</v>
      </c>
      <c r="O193" s="1830" t="s">
        <v>530</v>
      </c>
      <c r="P193" s="590" t="s">
        <v>106</v>
      </c>
      <c r="Q193" s="1766"/>
      <c r="R193" s="1831" t="s">
        <v>54</v>
      </c>
      <c r="S193" s="1832" t="s">
        <v>502</v>
      </c>
      <c r="U193" s="590" t="s">
        <v>90</v>
      </c>
      <c r="V193" s="590" t="s">
        <v>91</v>
      </c>
      <c r="W193" s="1830" t="s">
        <v>507</v>
      </c>
      <c r="X193" s="590"/>
      <c r="Y193" s="1766"/>
      <c r="Z193" s="1831" t="s">
        <v>54</v>
      </c>
      <c r="AA193" s="1832" t="s">
        <v>507</v>
      </c>
    </row>
    <row r="194" spans="1:39" x14ac:dyDescent="0.2">
      <c r="A194" s="1729"/>
      <c r="B194" s="618" t="s">
        <v>509</v>
      </c>
      <c r="C194" s="1721">
        <v>4</v>
      </c>
      <c r="D194" s="1743">
        <f>E200/C194/6</f>
        <v>20761.533333333336</v>
      </c>
      <c r="E194" s="1722"/>
      <c r="F194" s="1722"/>
      <c r="G194" s="1723"/>
      <c r="H194" s="1724"/>
      <c r="I194" s="1725"/>
      <c r="K194" s="185"/>
      <c r="L194" s="618" t="s">
        <v>509</v>
      </c>
      <c r="M194" s="1817">
        <v>3</v>
      </c>
      <c r="N194" s="1743">
        <f>O200/M194/15</f>
        <v>19088.733333333334</v>
      </c>
      <c r="O194" s="1916"/>
      <c r="P194" s="1899"/>
      <c r="Q194" s="1766"/>
      <c r="R194" s="1931"/>
      <c r="S194" s="1917"/>
      <c r="U194" s="1743">
        <f t="shared" ref="U194:AA199" si="57">M194-C194</f>
        <v>-1</v>
      </c>
      <c r="V194" s="1743">
        <f t="shared" si="57"/>
        <v>-1672.8000000000029</v>
      </c>
      <c r="W194" s="1743">
        <f t="shared" si="57"/>
        <v>0</v>
      </c>
      <c r="X194" s="1743">
        <f t="shared" si="57"/>
        <v>0</v>
      </c>
      <c r="Y194" s="1728">
        <f t="shared" si="57"/>
        <v>0</v>
      </c>
      <c r="Z194" s="1769">
        <f t="shared" si="57"/>
        <v>0</v>
      </c>
      <c r="AA194" s="1770">
        <f t="shared" si="57"/>
        <v>0</v>
      </c>
    </row>
    <row r="195" spans="1:39" x14ac:dyDescent="0.2">
      <c r="A195" s="1729"/>
      <c r="B195" s="333" t="s">
        <v>156</v>
      </c>
      <c r="C195" s="1721">
        <v>4</v>
      </c>
      <c r="D195" s="1721">
        <v>76400</v>
      </c>
      <c r="E195" s="1722">
        <f>D195*C195*0.85</f>
        <v>259760</v>
      </c>
      <c r="F195" s="1722">
        <f>D195*C195*0.15</f>
        <v>45840</v>
      </c>
      <c r="G195" s="1723"/>
      <c r="H195" s="1941"/>
      <c r="I195" s="1725"/>
      <c r="K195" s="1918"/>
      <c r="L195" s="2835" t="s">
        <v>823</v>
      </c>
      <c r="M195" s="1926">
        <f>15*M194</f>
        <v>45</v>
      </c>
      <c r="N195" s="1926">
        <f>76400/6</f>
        <v>12733.333333333334</v>
      </c>
      <c r="O195" s="1921">
        <f>+N195*M195*0.85</f>
        <v>487050</v>
      </c>
      <c r="P195" s="1922">
        <f>+N195*M195*0.15</f>
        <v>85950</v>
      </c>
      <c r="Q195" s="1766"/>
      <c r="R195" s="1933"/>
      <c r="S195" s="1934"/>
      <c r="T195" s="1902"/>
      <c r="U195" s="1743">
        <f t="shared" si="57"/>
        <v>41</v>
      </c>
      <c r="V195" s="1743">
        <f>N195-D195/6</f>
        <v>0</v>
      </c>
      <c r="W195" s="1743">
        <f t="shared" si="57"/>
        <v>227290</v>
      </c>
      <c r="X195" s="1743">
        <f t="shared" si="57"/>
        <v>40110</v>
      </c>
      <c r="Y195" s="1728">
        <f t="shared" si="57"/>
        <v>0</v>
      </c>
      <c r="Z195" s="1769">
        <f t="shared" si="57"/>
        <v>0</v>
      </c>
      <c r="AA195" s="1770">
        <f t="shared" si="57"/>
        <v>0</v>
      </c>
      <c r="AF195" s="1874"/>
      <c r="AG195" s="1874"/>
      <c r="AH195" s="1874"/>
    </row>
    <row r="196" spans="1:39" ht="15.75" customHeight="1" x14ac:dyDescent="0.2">
      <c r="A196" s="1729"/>
      <c r="B196" s="333" t="s">
        <v>197</v>
      </c>
      <c r="C196" s="1721">
        <v>4</v>
      </c>
      <c r="D196" s="1721">
        <v>9000</v>
      </c>
      <c r="E196" s="1722">
        <f>D196*C196*0.85</f>
        <v>30600</v>
      </c>
      <c r="F196" s="1722">
        <f>D196*C196*0.15</f>
        <v>5400</v>
      </c>
      <c r="G196" s="1723"/>
      <c r="H196" s="1724"/>
      <c r="I196" s="1725"/>
      <c r="K196" s="1918"/>
      <c r="L196" s="2835" t="s">
        <v>197</v>
      </c>
      <c r="M196" s="1926">
        <f>15*M194</f>
        <v>45</v>
      </c>
      <c r="N196" s="1926">
        <f>9000/6</f>
        <v>1500</v>
      </c>
      <c r="O196" s="1921">
        <f>+N196*M196*0.85</f>
        <v>57375</v>
      </c>
      <c r="P196" s="1922">
        <f>+N196*M196*0.15</f>
        <v>10125</v>
      </c>
      <c r="Q196" s="1766"/>
      <c r="R196" s="1933"/>
      <c r="S196" s="1934"/>
      <c r="U196" s="1743">
        <f t="shared" si="57"/>
        <v>41</v>
      </c>
      <c r="V196" s="1743">
        <f>N196-D196/6</f>
        <v>0</v>
      </c>
      <c r="W196" s="1743">
        <f t="shared" si="57"/>
        <v>26775</v>
      </c>
      <c r="X196" s="1743">
        <f t="shared" si="57"/>
        <v>4725</v>
      </c>
      <c r="Y196" s="1728">
        <f t="shared" si="57"/>
        <v>0</v>
      </c>
      <c r="Z196" s="1769">
        <f t="shared" si="57"/>
        <v>0</v>
      </c>
      <c r="AA196" s="1770">
        <f t="shared" si="57"/>
        <v>0</v>
      </c>
      <c r="AF196" s="1874"/>
      <c r="AG196" s="1874"/>
      <c r="AH196" s="1874"/>
    </row>
    <row r="197" spans="1:39" x14ac:dyDescent="0.2">
      <c r="A197" s="1729"/>
      <c r="B197" s="333" t="s">
        <v>198</v>
      </c>
      <c r="C197" s="1721">
        <v>4</v>
      </c>
      <c r="D197" s="1721">
        <v>45600</v>
      </c>
      <c r="E197" s="1722">
        <f>D197*C197*0.85</f>
        <v>155040</v>
      </c>
      <c r="F197" s="1722">
        <f>D197*C197*0.15</f>
        <v>27360</v>
      </c>
      <c r="G197" s="1723"/>
      <c r="H197" s="1724"/>
      <c r="I197" s="1725"/>
      <c r="J197" s="1930"/>
      <c r="K197" s="1918"/>
      <c r="L197" s="2835" t="s">
        <v>822</v>
      </c>
      <c r="M197" s="1926">
        <f>15*M194</f>
        <v>45</v>
      </c>
      <c r="N197" s="1926">
        <v>7600</v>
      </c>
      <c r="O197" s="1921">
        <f>+N197*M197*0.85</f>
        <v>290700</v>
      </c>
      <c r="P197" s="1922">
        <f>+N197*M197*0.15</f>
        <v>51300</v>
      </c>
      <c r="Q197" s="1766"/>
      <c r="R197" s="1933"/>
      <c r="S197" s="1873"/>
      <c r="U197" s="1743">
        <f t="shared" si="57"/>
        <v>41</v>
      </c>
      <c r="V197" s="1743">
        <f>N197-D197/6</f>
        <v>0</v>
      </c>
      <c r="W197" s="1743">
        <f t="shared" si="57"/>
        <v>135660</v>
      </c>
      <c r="X197" s="1743">
        <f t="shared" si="57"/>
        <v>23940</v>
      </c>
      <c r="Y197" s="1728">
        <f t="shared" si="57"/>
        <v>0</v>
      </c>
      <c r="Z197" s="1769">
        <f t="shared" si="57"/>
        <v>0</v>
      </c>
      <c r="AA197" s="1770">
        <f t="shared" si="57"/>
        <v>0</v>
      </c>
      <c r="AL197" s="1874"/>
    </row>
    <row r="198" spans="1:39" x14ac:dyDescent="0.2">
      <c r="A198" s="1729"/>
      <c r="B198" s="333" t="s">
        <v>199</v>
      </c>
      <c r="C198" s="1721">
        <v>48</v>
      </c>
      <c r="D198" s="1721">
        <v>288</v>
      </c>
      <c r="E198" s="1722">
        <f>D198*C198*0.85</f>
        <v>11750.4</v>
      </c>
      <c r="F198" s="1722">
        <f>D198*C198*0.15</f>
        <v>2073.6</v>
      </c>
      <c r="G198" s="1723"/>
      <c r="H198" s="1724"/>
      <c r="I198" s="1725"/>
      <c r="K198" s="1918"/>
      <c r="L198" s="2835" t="s">
        <v>199</v>
      </c>
      <c r="M198" s="1926">
        <f>15*M194</f>
        <v>45</v>
      </c>
      <c r="N198" s="1926">
        <v>288</v>
      </c>
      <c r="O198" s="1921">
        <f>+N198*M198*0.85</f>
        <v>11016</v>
      </c>
      <c r="P198" s="1922">
        <f>+N198*M198*0.15</f>
        <v>1944</v>
      </c>
      <c r="Q198" s="1766"/>
      <c r="R198" s="1933"/>
      <c r="S198" s="1934"/>
      <c r="U198" s="1743">
        <f t="shared" si="57"/>
        <v>-3</v>
      </c>
      <c r="V198" s="1743">
        <f>N198-D198</f>
        <v>0</v>
      </c>
      <c r="W198" s="1743">
        <f t="shared" si="57"/>
        <v>-734.39999999999964</v>
      </c>
      <c r="X198" s="1743">
        <f t="shared" si="57"/>
        <v>-129.59999999999991</v>
      </c>
      <c r="Y198" s="1728">
        <f t="shared" si="57"/>
        <v>0</v>
      </c>
      <c r="Z198" s="1769">
        <f t="shared" si="57"/>
        <v>0</v>
      </c>
      <c r="AA198" s="1770">
        <f t="shared" si="57"/>
        <v>0</v>
      </c>
    </row>
    <row r="199" spans="1:39" x14ac:dyDescent="0.2">
      <c r="A199" s="1729"/>
      <c r="B199" s="333" t="s">
        <v>200</v>
      </c>
      <c r="C199" s="1721">
        <v>24</v>
      </c>
      <c r="D199" s="1721">
        <v>2016</v>
      </c>
      <c r="E199" s="1722">
        <f>D199*C199*0.85</f>
        <v>41126.400000000001</v>
      </c>
      <c r="F199" s="1722">
        <f>D199*C199*0.15</f>
        <v>7257.5999999999995</v>
      </c>
      <c r="G199" s="1723"/>
      <c r="H199" s="1724"/>
      <c r="I199" s="1725"/>
      <c r="K199" s="1918"/>
      <c r="L199" s="2835" t="s">
        <v>200</v>
      </c>
      <c r="M199" s="1926">
        <f>15*M194</f>
        <v>45</v>
      </c>
      <c r="N199" s="1926">
        <f>D199/6</f>
        <v>336</v>
      </c>
      <c r="O199" s="1921">
        <f>+N199*M199*0.85</f>
        <v>12852</v>
      </c>
      <c r="P199" s="1922">
        <f>+N199*M199*0.15</f>
        <v>2268</v>
      </c>
      <c r="Q199" s="1766"/>
      <c r="R199" s="1933"/>
      <c r="S199" s="1934"/>
      <c r="U199" s="1743">
        <f t="shared" si="57"/>
        <v>21</v>
      </c>
      <c r="V199" s="1743">
        <f>N199-D199</f>
        <v>-1680</v>
      </c>
      <c r="W199" s="1743">
        <f t="shared" si="57"/>
        <v>-28274.400000000001</v>
      </c>
      <c r="X199" s="1743">
        <f t="shared" si="57"/>
        <v>-4989.5999999999995</v>
      </c>
      <c r="Y199" s="1728">
        <f t="shared" si="57"/>
        <v>0</v>
      </c>
      <c r="Z199" s="1769">
        <f t="shared" si="57"/>
        <v>0</v>
      </c>
      <c r="AA199" s="1770">
        <f t="shared" si="57"/>
        <v>0</v>
      </c>
    </row>
    <row r="200" spans="1:39" ht="13.5" thickBot="1" x14ac:dyDescent="0.25">
      <c r="A200" s="200"/>
      <c r="B200" s="1895"/>
      <c r="C200" s="1896"/>
      <c r="D200" s="1896"/>
      <c r="E200" s="1896">
        <f>SUM(E195:E199)</f>
        <v>498276.80000000005</v>
      </c>
      <c r="F200" s="1896">
        <f>SUM(F195:F199)</f>
        <v>87931.200000000012</v>
      </c>
      <c r="G200" s="1897"/>
      <c r="H200" s="1896"/>
      <c r="I200" s="1898"/>
      <c r="K200" s="185"/>
      <c r="L200" s="1778" t="s">
        <v>13</v>
      </c>
      <c r="M200" s="1779"/>
      <c r="N200" s="1779"/>
      <c r="O200" s="1779">
        <f>SUM(O195:O199)</f>
        <v>858993</v>
      </c>
      <c r="P200" s="1779">
        <f>SUM(P195:P199)</f>
        <v>151587</v>
      </c>
      <c r="Q200" s="1766"/>
      <c r="R200" s="1779"/>
      <c r="S200" s="1780"/>
      <c r="U200" s="1781"/>
      <c r="V200" s="1781"/>
      <c r="W200" s="1782">
        <f>SUM(W195:W199)</f>
        <v>360716.19999999995</v>
      </c>
      <c r="X200" s="1782">
        <f>SUM(X195:X199)</f>
        <v>63655.799999999996</v>
      </c>
      <c r="Y200" s="1782">
        <f>SUM(Y195:Y199)</f>
        <v>0</v>
      </c>
      <c r="Z200" s="1782">
        <f>SUM(Z195:Z199)</f>
        <v>0</v>
      </c>
      <c r="AA200" s="1782">
        <f>SUM(AA195:AA199)</f>
        <v>0</v>
      </c>
    </row>
    <row r="201" spans="1:39" ht="13.5" thickBot="1" x14ac:dyDescent="0.25">
      <c r="A201" s="1871"/>
      <c r="B201" s="591"/>
      <c r="F201" s="1902"/>
      <c r="K201" s="200"/>
      <c r="L201" s="3233" t="s">
        <v>559</v>
      </c>
      <c r="M201" s="3234"/>
      <c r="N201" s="3234"/>
      <c r="O201" s="3234"/>
      <c r="P201" s="3234"/>
      <c r="Q201" s="3234"/>
      <c r="R201" s="3235"/>
      <c r="S201" s="1929"/>
    </row>
    <row r="202" spans="1:39" x14ac:dyDescent="0.2">
      <c r="A202" s="1871"/>
      <c r="B202" s="591"/>
      <c r="F202" s="1874">
        <f>E197+E172</f>
        <v>246840</v>
      </c>
      <c r="O202" s="1930"/>
      <c r="P202" s="1874"/>
    </row>
    <row r="203" spans="1:39" ht="13.5" thickBot="1" x14ac:dyDescent="0.25">
      <c r="A203" s="1871"/>
      <c r="B203" s="591"/>
      <c r="P203" s="1902"/>
    </row>
    <row r="204" spans="1:39" x14ac:dyDescent="0.2">
      <c r="A204" s="182">
        <v>14</v>
      </c>
      <c r="B204" s="1936" t="s">
        <v>201</v>
      </c>
      <c r="C204" s="3216" t="s">
        <v>87</v>
      </c>
      <c r="D204" s="3216"/>
      <c r="E204" s="3216"/>
      <c r="F204" s="1937"/>
      <c r="G204" s="1938"/>
      <c r="H204" s="3217" t="s">
        <v>88</v>
      </c>
      <c r="I204" s="3218"/>
      <c r="K204" s="182">
        <v>14</v>
      </c>
      <c r="L204" s="1936" t="s">
        <v>560</v>
      </c>
      <c r="M204" s="3207" t="s">
        <v>813</v>
      </c>
      <c r="N204" s="3208"/>
      <c r="O204" s="3209"/>
      <c r="P204" s="1937"/>
      <c r="Q204" s="1938"/>
      <c r="R204" s="3231" t="s">
        <v>88</v>
      </c>
      <c r="S204" s="3232"/>
      <c r="U204" s="3216" t="s">
        <v>506</v>
      </c>
      <c r="V204" s="3216"/>
      <c r="W204" s="3216"/>
      <c r="X204" s="1937"/>
      <c r="Y204" s="1939"/>
      <c r="Z204" s="3217" t="s">
        <v>88</v>
      </c>
      <c r="AA204" s="3218"/>
    </row>
    <row r="205" spans="1:39" ht="38.25" x14ac:dyDescent="0.2">
      <c r="A205" s="185"/>
      <c r="B205" s="590" t="s">
        <v>89</v>
      </c>
      <c r="C205" s="1831" t="s">
        <v>54</v>
      </c>
      <c r="D205" s="590" t="s">
        <v>91</v>
      </c>
      <c r="E205" s="590" t="s">
        <v>105</v>
      </c>
      <c r="F205" s="590" t="s">
        <v>106</v>
      </c>
      <c r="G205" s="1723"/>
      <c r="H205" s="1831" t="s">
        <v>54</v>
      </c>
      <c r="I205" s="1909" t="s">
        <v>92</v>
      </c>
      <c r="K205" s="185"/>
      <c r="L205" s="590" t="s">
        <v>89</v>
      </c>
      <c r="M205" s="1831" t="s">
        <v>54</v>
      </c>
      <c r="N205" s="590" t="s">
        <v>91</v>
      </c>
      <c r="O205" s="1830" t="s">
        <v>530</v>
      </c>
      <c r="P205" s="590" t="s">
        <v>106</v>
      </c>
      <c r="Q205" s="1766"/>
      <c r="R205" s="1831" t="s">
        <v>54</v>
      </c>
      <c r="S205" s="1832" t="s">
        <v>502</v>
      </c>
      <c r="U205" s="590" t="s">
        <v>90</v>
      </c>
      <c r="V205" s="590" t="s">
        <v>91</v>
      </c>
      <c r="W205" s="1830" t="s">
        <v>507</v>
      </c>
      <c r="X205" s="590"/>
      <c r="Y205" s="1766"/>
      <c r="Z205" s="1831" t="s">
        <v>54</v>
      </c>
      <c r="AA205" s="1832" t="s">
        <v>507</v>
      </c>
    </row>
    <row r="206" spans="1:39" x14ac:dyDescent="0.2">
      <c r="A206" s="185"/>
      <c r="B206" s="618" t="s">
        <v>509</v>
      </c>
      <c r="C206" s="1914">
        <v>2</v>
      </c>
      <c r="D206" s="1721"/>
      <c r="E206" s="1722"/>
      <c r="F206" s="1722"/>
      <c r="G206" s="1723"/>
      <c r="H206" s="1724"/>
      <c r="I206" s="1725"/>
      <c r="K206" s="185"/>
      <c r="L206" s="618" t="s">
        <v>509</v>
      </c>
      <c r="M206" s="1817">
        <v>2</v>
      </c>
      <c r="N206" s="1899"/>
      <c r="O206" s="1916"/>
      <c r="P206" s="1899"/>
      <c r="Q206" s="1940"/>
      <c r="R206" s="1931"/>
      <c r="S206" s="1917"/>
      <c r="U206" s="1727">
        <f t="shared" ref="U206:AA210" si="58">M206-C206</f>
        <v>0</v>
      </c>
      <c r="V206" s="1727">
        <f t="shared" si="58"/>
        <v>0</v>
      </c>
      <c r="W206" s="1727">
        <f t="shared" si="58"/>
        <v>0</v>
      </c>
      <c r="X206" s="1743">
        <f t="shared" si="58"/>
        <v>0</v>
      </c>
      <c r="Y206" s="1728">
        <f t="shared" si="58"/>
        <v>0</v>
      </c>
      <c r="Z206" s="1769">
        <f t="shared" si="58"/>
        <v>0</v>
      </c>
      <c r="AA206" s="1770">
        <f t="shared" si="58"/>
        <v>0</v>
      </c>
    </row>
    <row r="207" spans="1:39" x14ac:dyDescent="0.2">
      <c r="A207" s="1729"/>
      <c r="B207" s="333" t="s">
        <v>202</v>
      </c>
      <c r="C207" s="1721">
        <v>2</v>
      </c>
      <c r="D207" s="1721">
        <v>90000</v>
      </c>
      <c r="E207" s="1722">
        <f>D207*C207*0.85</f>
        <v>153000</v>
      </c>
      <c r="F207" s="1722">
        <f>D207*C207*0.15</f>
        <v>27000</v>
      </c>
      <c r="G207" s="1723"/>
      <c r="H207" s="1724"/>
      <c r="I207" s="1725"/>
      <c r="K207" s="1918"/>
      <c r="L207" s="2078" t="s">
        <v>819</v>
      </c>
      <c r="M207" s="1926">
        <f>2*15</f>
        <v>30</v>
      </c>
      <c r="N207" s="1926">
        <f>180000/12</f>
        <v>15000</v>
      </c>
      <c r="O207" s="2079">
        <f>+N207*M207*0.85</f>
        <v>382500</v>
      </c>
      <c r="P207" s="2079">
        <f>+N207*M207*0.15</f>
        <v>67500</v>
      </c>
      <c r="Q207" s="1766"/>
      <c r="R207" s="1933"/>
      <c r="S207" s="1934"/>
      <c r="U207" s="1727">
        <f t="shared" si="58"/>
        <v>28</v>
      </c>
      <c r="V207" s="1743">
        <f>N207-D207/6</f>
        <v>0</v>
      </c>
      <c r="W207" s="1727">
        <f t="shared" si="58"/>
        <v>229500</v>
      </c>
      <c r="X207" s="1743">
        <f t="shared" si="58"/>
        <v>40500</v>
      </c>
      <c r="Y207" s="1728">
        <f t="shared" si="58"/>
        <v>0</v>
      </c>
      <c r="Z207" s="1769">
        <f t="shared" si="58"/>
        <v>0</v>
      </c>
      <c r="AA207" s="1770">
        <f t="shared" si="58"/>
        <v>0</v>
      </c>
      <c r="AM207" s="1930"/>
    </row>
    <row r="208" spans="1:39" x14ac:dyDescent="0.2">
      <c r="A208" s="1729"/>
      <c r="B208" s="333" t="s">
        <v>186</v>
      </c>
      <c r="C208" s="1721">
        <v>2</v>
      </c>
      <c r="D208" s="1721">
        <v>10500</v>
      </c>
      <c r="E208" s="1722">
        <f>D208*C208*0.85</f>
        <v>17850</v>
      </c>
      <c r="F208" s="1722">
        <f>D208*C208*0.15</f>
        <v>3150</v>
      </c>
      <c r="G208" s="1723"/>
      <c r="H208" s="1724"/>
      <c r="I208" s="1725"/>
      <c r="K208" s="1918"/>
      <c r="L208" s="1932" t="s">
        <v>186</v>
      </c>
      <c r="M208" s="1926">
        <f>2*15</f>
        <v>30</v>
      </c>
      <c r="N208" s="1926">
        <f>21000/12</f>
        <v>1750</v>
      </c>
      <c r="O208" s="2079">
        <f>+N208*M208*0.85</f>
        <v>44625</v>
      </c>
      <c r="P208" s="2079">
        <f>+N208*M208*0.15</f>
        <v>7875</v>
      </c>
      <c r="Q208" s="1766"/>
      <c r="R208" s="1933"/>
      <c r="S208" s="1934"/>
      <c r="U208" s="1727">
        <f t="shared" si="58"/>
        <v>28</v>
      </c>
      <c r="V208" s="1743">
        <f>N208-D208/6</f>
        <v>0</v>
      </c>
      <c r="W208" s="1727">
        <f t="shared" si="58"/>
        <v>26775</v>
      </c>
      <c r="X208" s="1743">
        <f t="shared" si="58"/>
        <v>4725</v>
      </c>
      <c r="Y208" s="1728">
        <f t="shared" si="58"/>
        <v>0</v>
      </c>
      <c r="Z208" s="1769">
        <f t="shared" si="58"/>
        <v>0</v>
      </c>
      <c r="AA208" s="1770">
        <f t="shared" si="58"/>
        <v>0</v>
      </c>
    </row>
    <row r="209" spans="1:48" x14ac:dyDescent="0.2">
      <c r="A209" s="1729"/>
      <c r="B209" s="333" t="s">
        <v>203</v>
      </c>
      <c r="C209" s="1721">
        <v>4</v>
      </c>
      <c r="D209" s="1721">
        <v>1920</v>
      </c>
      <c r="E209" s="1722">
        <f>D209*C209*0.85</f>
        <v>6528</v>
      </c>
      <c r="F209" s="1722">
        <f>D209*C209*0.15</f>
        <v>1152</v>
      </c>
      <c r="G209" s="1723"/>
      <c r="H209" s="1724"/>
      <c r="I209" s="1725"/>
      <c r="K209" s="1918"/>
      <c r="L209" s="1932" t="s">
        <v>203</v>
      </c>
      <c r="M209" s="1926">
        <f>M206</f>
        <v>2</v>
      </c>
      <c r="N209" s="1926">
        <f>800*$J$1</f>
        <v>3040</v>
      </c>
      <c r="O209" s="2079">
        <f>+N209*M209*0.85</f>
        <v>5168</v>
      </c>
      <c r="P209" s="2079">
        <f>+N209*M209*0.15</f>
        <v>912</v>
      </c>
      <c r="Q209" s="1766"/>
      <c r="R209" s="1933"/>
      <c r="S209" s="1934"/>
      <c r="U209" s="1727">
        <f t="shared" si="58"/>
        <v>-2</v>
      </c>
      <c r="V209" s="1743">
        <f>N209-D209/6</f>
        <v>2720</v>
      </c>
      <c r="W209" s="1727">
        <f t="shared" si="58"/>
        <v>-1360</v>
      </c>
      <c r="X209" s="1743">
        <f t="shared" si="58"/>
        <v>-240</v>
      </c>
      <c r="Y209" s="1728">
        <f t="shared" si="58"/>
        <v>0</v>
      </c>
      <c r="Z209" s="1769">
        <f t="shared" si="58"/>
        <v>0</v>
      </c>
      <c r="AA209" s="1770">
        <f t="shared" si="58"/>
        <v>0</v>
      </c>
    </row>
    <row r="210" spans="1:48" ht="25.5" x14ac:dyDescent="0.2">
      <c r="A210" s="1729"/>
      <c r="B210" s="333" t="s">
        <v>204</v>
      </c>
      <c r="C210" s="1721">
        <v>24</v>
      </c>
      <c r="D210" s="1721">
        <v>456</v>
      </c>
      <c r="E210" s="1722">
        <f>D210*C210*0.85</f>
        <v>9302.4</v>
      </c>
      <c r="F210" s="1722">
        <f>D210*C210*0.15</f>
        <v>1641.6</v>
      </c>
      <c r="G210" s="1723"/>
      <c r="H210" s="1724"/>
      <c r="I210" s="1725"/>
      <c r="K210" s="1918"/>
      <c r="L210" s="2080" t="s">
        <v>561</v>
      </c>
      <c r="M210" s="1926">
        <f>M206</f>
        <v>2</v>
      </c>
      <c r="N210" s="1926">
        <f>+(30*5+180*5+200)*$J$1</f>
        <v>4750</v>
      </c>
      <c r="O210" s="2079">
        <f>+N210*M210*0.85</f>
        <v>8075</v>
      </c>
      <c r="P210" s="2079">
        <f>+N210*M210*0.15</f>
        <v>1425</v>
      </c>
      <c r="Q210" s="1766"/>
      <c r="R210" s="1933"/>
      <c r="S210" s="1934"/>
      <c r="U210" s="1727">
        <f t="shared" si="58"/>
        <v>-22</v>
      </c>
      <c r="V210" s="1743">
        <f>N210-D210/6</f>
        <v>4674</v>
      </c>
      <c r="W210" s="1727">
        <f t="shared" si="58"/>
        <v>-1227.3999999999996</v>
      </c>
      <c r="X210" s="1743">
        <f t="shared" si="58"/>
        <v>-216.59999999999991</v>
      </c>
      <c r="Y210" s="1728">
        <f t="shared" si="58"/>
        <v>0</v>
      </c>
      <c r="Z210" s="1769">
        <f t="shared" si="58"/>
        <v>0</v>
      </c>
      <c r="AA210" s="1770">
        <f t="shared" si="58"/>
        <v>0</v>
      </c>
      <c r="AI210" s="1874"/>
    </row>
    <row r="211" spans="1:48" x14ac:dyDescent="0.2">
      <c r="A211" s="185"/>
      <c r="B211" s="1905"/>
      <c r="C211" s="1779"/>
      <c r="D211" s="1779"/>
      <c r="E211" s="1779">
        <f>SUM(E207:E210)</f>
        <v>186680.4</v>
      </c>
      <c r="F211" s="1779">
        <f>SUM(F207:F210)</f>
        <v>32943.599999999999</v>
      </c>
      <c r="G211" s="1723"/>
      <c r="H211" s="1779"/>
      <c r="I211" s="1780"/>
      <c r="K211" s="185"/>
      <c r="L211" s="1778" t="s">
        <v>13</v>
      </c>
      <c r="M211" s="1779"/>
      <c r="N211" s="1779"/>
      <c r="O211" s="1779">
        <f>SUM(O207:O210)</f>
        <v>440368</v>
      </c>
      <c r="P211" s="1779">
        <f>SUM(P207:P210)</f>
        <v>77712</v>
      </c>
      <c r="Q211" s="1766"/>
      <c r="R211" s="1779"/>
      <c r="S211" s="1780"/>
      <c r="U211" s="1781"/>
      <c r="V211" s="1781"/>
      <c r="W211" s="1782">
        <f>SUM(W207:W210)</f>
        <v>253687.6</v>
      </c>
      <c r="X211" s="1782">
        <f>SUM(X207:X210)</f>
        <v>44768.4</v>
      </c>
      <c r="Y211" s="1782">
        <f>SUM(Y207:Y210)</f>
        <v>0</v>
      </c>
      <c r="Z211" s="1782">
        <f>SUM(Z207:Z210)</f>
        <v>0</v>
      </c>
      <c r="AA211" s="1782">
        <f>SUM(AA207:AA210)</f>
        <v>0</v>
      </c>
      <c r="AM211" s="1874"/>
    </row>
    <row r="212" spans="1:48" ht="33.75" customHeight="1" thickBot="1" x14ac:dyDescent="0.25">
      <c r="A212" s="1995"/>
      <c r="B212" s="3224" t="s">
        <v>205</v>
      </c>
      <c r="C212" s="3224"/>
      <c r="D212" s="3224"/>
      <c r="E212" s="3224"/>
      <c r="F212" s="3224"/>
      <c r="G212" s="3224"/>
      <c r="H212" s="3224"/>
      <c r="I212" s="3225"/>
      <c r="K212" s="200"/>
      <c r="L212" s="3233" t="s">
        <v>897</v>
      </c>
      <c r="M212" s="3234"/>
      <c r="N212" s="3234"/>
      <c r="O212" s="3234"/>
      <c r="P212" s="3234"/>
      <c r="Q212" s="3234"/>
      <c r="R212" s="3235"/>
      <c r="S212" s="1929"/>
    </row>
    <row r="213" spans="1:48" x14ac:dyDescent="0.2">
      <c r="A213" s="1871"/>
      <c r="B213" s="591"/>
      <c r="F213" s="1902"/>
      <c r="O213" s="1930"/>
      <c r="P213" s="1902"/>
    </row>
    <row r="214" spans="1:48" x14ac:dyDescent="0.2">
      <c r="A214" s="1871"/>
      <c r="B214" s="591"/>
      <c r="P214" s="1902"/>
    </row>
    <row r="215" spans="1:48" x14ac:dyDescent="0.2">
      <c r="A215" s="1871"/>
      <c r="B215" s="591"/>
      <c r="P215" s="1902"/>
    </row>
    <row r="216" spans="1:48" ht="13.5" thickBot="1" x14ac:dyDescent="0.25">
      <c r="A216" s="1871"/>
      <c r="B216" s="591"/>
      <c r="P216" s="1902"/>
    </row>
    <row r="217" spans="1:48" x14ac:dyDescent="0.2">
      <c r="A217" s="182">
        <v>15</v>
      </c>
      <c r="B217" s="1936" t="s">
        <v>206</v>
      </c>
      <c r="C217" s="3216" t="s">
        <v>87</v>
      </c>
      <c r="D217" s="3216"/>
      <c r="E217" s="3216"/>
      <c r="F217" s="1937"/>
      <c r="G217" s="1938"/>
      <c r="H217" s="3217" t="s">
        <v>88</v>
      </c>
      <c r="I217" s="3218"/>
      <c r="K217" s="182">
        <v>15</v>
      </c>
      <c r="L217" s="1936" t="s">
        <v>562</v>
      </c>
      <c r="M217" s="3207" t="s">
        <v>813</v>
      </c>
      <c r="N217" s="3208"/>
      <c r="O217" s="3209"/>
      <c r="P217" s="1937"/>
      <c r="Q217" s="1938"/>
      <c r="R217" s="3217" t="s">
        <v>88</v>
      </c>
      <c r="S217" s="3218"/>
      <c r="U217" s="3216" t="s">
        <v>506</v>
      </c>
      <c r="V217" s="3216"/>
      <c r="W217" s="3216"/>
      <c r="X217" s="1937"/>
      <c r="Y217" s="1939"/>
      <c r="Z217" s="3217" t="s">
        <v>88</v>
      </c>
      <c r="AA217" s="3218"/>
    </row>
    <row r="218" spans="1:48" ht="38.25" x14ac:dyDescent="0.2">
      <c r="A218" s="185"/>
      <c r="B218" s="590" t="s">
        <v>89</v>
      </c>
      <c r="C218" s="1831" t="s">
        <v>54</v>
      </c>
      <c r="D218" s="590" t="s">
        <v>91</v>
      </c>
      <c r="E218" s="590" t="s">
        <v>207</v>
      </c>
      <c r="F218" s="590" t="s">
        <v>106</v>
      </c>
      <c r="G218" s="1723"/>
      <c r="H218" s="1831" t="s">
        <v>54</v>
      </c>
      <c r="I218" s="1909" t="s">
        <v>92</v>
      </c>
      <c r="K218" s="185"/>
      <c r="L218" s="590" t="s">
        <v>89</v>
      </c>
      <c r="M218" s="1831" t="s">
        <v>54</v>
      </c>
      <c r="N218" s="590" t="s">
        <v>91</v>
      </c>
      <c r="O218" s="1830" t="s">
        <v>502</v>
      </c>
      <c r="P218" s="590" t="s">
        <v>106</v>
      </c>
      <c r="Q218" s="1766"/>
      <c r="R218" s="1831" t="s">
        <v>54</v>
      </c>
      <c r="S218" s="1832" t="s">
        <v>502</v>
      </c>
      <c r="U218" s="590" t="s">
        <v>90</v>
      </c>
      <c r="V218" s="590" t="s">
        <v>91</v>
      </c>
      <c r="W218" s="1830" t="s">
        <v>507</v>
      </c>
      <c r="X218" s="590"/>
      <c r="Y218" s="1766"/>
      <c r="Z218" s="1831" t="s">
        <v>54</v>
      </c>
      <c r="AA218" s="1832" t="s">
        <v>507</v>
      </c>
    </row>
    <row r="219" spans="1:48" x14ac:dyDescent="0.2">
      <c r="A219" s="1719"/>
      <c r="B219" s="2083" t="s">
        <v>44</v>
      </c>
      <c r="C219" s="1914">
        <v>2</v>
      </c>
      <c r="D219" s="1721"/>
      <c r="E219" s="1722"/>
      <c r="F219" s="1722"/>
      <c r="G219" s="1723"/>
      <c r="H219" s="1724"/>
      <c r="I219" s="1725"/>
      <c r="K219" s="1918"/>
      <c r="L219" s="2040" t="s">
        <v>44</v>
      </c>
      <c r="M219" s="2021">
        <v>6</v>
      </c>
      <c r="N219" s="1926"/>
      <c r="O219" s="2079"/>
      <c r="P219" s="2079"/>
      <c r="Q219" s="1766"/>
      <c r="R219" s="1940"/>
      <c r="S219" s="1934"/>
      <c r="U219" s="1727">
        <f t="shared" ref="U219:AA222" si="59">M219-C219</f>
        <v>4</v>
      </c>
      <c r="V219" s="1727">
        <f t="shared" si="59"/>
        <v>0</v>
      </c>
      <c r="W219" s="1727">
        <f t="shared" si="59"/>
        <v>0</v>
      </c>
      <c r="X219" s="1743">
        <f t="shared" si="59"/>
        <v>0</v>
      </c>
      <c r="Y219" s="1728">
        <f t="shared" si="59"/>
        <v>0</v>
      </c>
      <c r="Z219" s="1769">
        <f t="shared" si="59"/>
        <v>0</v>
      </c>
      <c r="AA219" s="1770">
        <f t="shared" si="59"/>
        <v>0</v>
      </c>
    </row>
    <row r="220" spans="1:48" x14ac:dyDescent="0.2">
      <c r="A220" s="1729"/>
      <c r="B220" s="333" t="s">
        <v>208</v>
      </c>
      <c r="C220" s="1721">
        <v>2</v>
      </c>
      <c r="D220" s="1721">
        <f>819050/10</f>
        <v>81905</v>
      </c>
      <c r="E220" s="1722">
        <f>D220*C220</f>
        <v>163810</v>
      </c>
      <c r="F220" s="1722"/>
      <c r="G220" s="1723"/>
      <c r="H220" s="1724"/>
      <c r="I220" s="1725"/>
      <c r="K220" s="1918"/>
      <c r="L220" s="1942" t="s">
        <v>208</v>
      </c>
      <c r="M220" s="1926">
        <f>+M219</f>
        <v>6</v>
      </c>
      <c r="N220" s="1721">
        <f>819050/10</f>
        <v>81905</v>
      </c>
      <c r="O220" s="2079">
        <f>+M220*N220</f>
        <v>491430</v>
      </c>
      <c r="P220" s="2084"/>
      <c r="Q220" s="1766"/>
      <c r="R220" s="1933"/>
      <c r="S220" s="1934"/>
      <c r="U220" s="1727">
        <f t="shared" si="59"/>
        <v>4</v>
      </c>
      <c r="V220" s="1727">
        <f t="shared" si="59"/>
        <v>0</v>
      </c>
      <c r="W220" s="1727">
        <f t="shared" si="59"/>
        <v>327620</v>
      </c>
      <c r="X220" s="1743">
        <f t="shared" si="59"/>
        <v>0</v>
      </c>
      <c r="Y220" s="1728">
        <f t="shared" si="59"/>
        <v>0</v>
      </c>
      <c r="Z220" s="1769">
        <f t="shared" si="59"/>
        <v>0</v>
      </c>
      <c r="AA220" s="1770">
        <f t="shared" si="59"/>
        <v>0</v>
      </c>
    </row>
    <row r="221" spans="1:48" ht="25.5" x14ac:dyDescent="0.2">
      <c r="A221" s="1729"/>
      <c r="B221" s="333" t="s">
        <v>209</v>
      </c>
      <c r="C221" s="1721">
        <v>4</v>
      </c>
      <c r="D221" s="1721">
        <f>364933.333333333/20*2</f>
        <v>36493.333333333299</v>
      </c>
      <c r="E221" s="1722">
        <f>D221*C221</f>
        <v>145973.3333333332</v>
      </c>
      <c r="F221" s="1722"/>
      <c r="G221" s="1723"/>
      <c r="H221" s="1724"/>
      <c r="I221" s="1725"/>
      <c r="K221" s="1918"/>
      <c r="L221" s="1942" t="s">
        <v>209</v>
      </c>
      <c r="M221" s="1926">
        <f>+M219*2</f>
        <v>12</v>
      </c>
      <c r="N221" s="1721">
        <f>364933.333333333/20*2</f>
        <v>36493.333333333299</v>
      </c>
      <c r="O221" s="2079">
        <f>+M221*N221</f>
        <v>437919.99999999959</v>
      </c>
      <c r="P221" s="2084"/>
      <c r="Q221" s="1766"/>
      <c r="R221" s="1933"/>
      <c r="S221" s="1934"/>
      <c r="U221" s="1727">
        <f t="shared" si="59"/>
        <v>8</v>
      </c>
      <c r="V221" s="1727">
        <f t="shared" si="59"/>
        <v>0</v>
      </c>
      <c r="W221" s="1727">
        <f t="shared" si="59"/>
        <v>291946.6666666664</v>
      </c>
      <c r="X221" s="1743">
        <f t="shared" si="59"/>
        <v>0</v>
      </c>
      <c r="Y221" s="1728">
        <f t="shared" si="59"/>
        <v>0</v>
      </c>
      <c r="Z221" s="1769">
        <f t="shared" si="59"/>
        <v>0</v>
      </c>
      <c r="AA221" s="1770">
        <f t="shared" si="59"/>
        <v>0</v>
      </c>
    </row>
    <row r="222" spans="1:48" ht="25.5" x14ac:dyDescent="0.2">
      <c r="A222" s="1729"/>
      <c r="B222" s="333" t="s">
        <v>210</v>
      </c>
      <c r="C222" s="1721">
        <v>2</v>
      </c>
      <c r="D222" s="1721">
        <v>13500</v>
      </c>
      <c r="E222" s="1722">
        <f>D222*C222</f>
        <v>27000</v>
      </c>
      <c r="F222" s="1722"/>
      <c r="G222" s="1723"/>
      <c r="H222" s="1724"/>
      <c r="I222" s="1725"/>
      <c r="K222" s="1918"/>
      <c r="L222" s="1942" t="s">
        <v>210</v>
      </c>
      <c r="M222" s="1926">
        <f>+M219</f>
        <v>6</v>
      </c>
      <c r="N222" s="1721">
        <v>13500</v>
      </c>
      <c r="O222" s="2079">
        <f>+M222*N222</f>
        <v>81000</v>
      </c>
      <c r="P222" s="2084"/>
      <c r="Q222" s="1766"/>
      <c r="R222" s="1933"/>
      <c r="S222" s="1934"/>
      <c r="U222" s="1727">
        <f t="shared" si="59"/>
        <v>4</v>
      </c>
      <c r="V222" s="1727">
        <f t="shared" si="59"/>
        <v>0</v>
      </c>
      <c r="W222" s="1727">
        <f t="shared" si="59"/>
        <v>54000</v>
      </c>
      <c r="X222" s="1743">
        <f t="shared" si="59"/>
        <v>0</v>
      </c>
      <c r="Y222" s="1728">
        <f t="shared" si="59"/>
        <v>0</v>
      </c>
      <c r="Z222" s="1769">
        <f t="shared" si="59"/>
        <v>0</v>
      </c>
      <c r="AA222" s="1770">
        <f t="shared" si="59"/>
        <v>0</v>
      </c>
      <c r="AF222" s="1730"/>
      <c r="AG222" s="1730"/>
      <c r="AH222" s="1730"/>
      <c r="AI222" s="1730"/>
      <c r="AJ222" s="1730"/>
      <c r="AK222" s="1730"/>
      <c r="AL222" s="1730"/>
      <c r="AM222" s="1730"/>
      <c r="AN222" s="1730"/>
      <c r="AO222" s="1730"/>
      <c r="AP222" s="1730"/>
      <c r="AQ222" s="1730"/>
      <c r="AR222" s="1730"/>
      <c r="AS222" s="1730"/>
      <c r="AT222" s="1730"/>
      <c r="AU222" s="1730"/>
      <c r="AV222" s="1730"/>
    </row>
    <row r="223" spans="1:48" ht="13.5" thickBot="1" x14ac:dyDescent="0.25">
      <c r="A223" s="200"/>
      <c r="B223" s="1895"/>
      <c r="C223" s="1896"/>
      <c r="D223" s="1896"/>
      <c r="E223" s="1896">
        <f>SUM(E220:E222)</f>
        <v>336783.3333333332</v>
      </c>
      <c r="F223" s="1896">
        <f>SUM(F220:F222)</f>
        <v>0</v>
      </c>
      <c r="G223" s="1897"/>
      <c r="H223" s="1896"/>
      <c r="I223" s="1898"/>
      <c r="K223" s="185"/>
      <c r="L223" s="1778" t="s">
        <v>13</v>
      </c>
      <c r="M223" s="1779"/>
      <c r="N223" s="1779"/>
      <c r="O223" s="1779">
        <f>SUM(O220:O222)</f>
        <v>1010349.9999999995</v>
      </c>
      <c r="P223" s="1779">
        <f>SUM(P220:P222)</f>
        <v>0</v>
      </c>
      <c r="Q223" s="1766"/>
      <c r="R223" s="1779"/>
      <c r="S223" s="1780"/>
      <c r="U223" s="1781"/>
      <c r="V223" s="1781"/>
      <c r="W223" s="1782">
        <f>SUM(W220:W222)</f>
        <v>673566.6666666664</v>
      </c>
      <c r="X223" s="1782">
        <f>SUM(X220:X222)</f>
        <v>0</v>
      </c>
      <c r="Y223" s="1782">
        <f>SUM(Y220:Y222)</f>
        <v>0</v>
      </c>
      <c r="Z223" s="1782">
        <f>SUM(Z220:Z222)</f>
        <v>0</v>
      </c>
      <c r="AA223" s="1782">
        <f>SUM(AA220:AA222)</f>
        <v>0</v>
      </c>
    </row>
    <row r="224" spans="1:48" ht="13.5" thickBot="1" x14ac:dyDescent="0.25">
      <c r="A224" s="1871"/>
      <c r="B224" s="591"/>
      <c r="K224" s="200"/>
      <c r="L224" s="3236"/>
      <c r="M224" s="3237"/>
      <c r="N224" s="3237"/>
      <c r="O224" s="3237"/>
      <c r="P224" s="3237"/>
      <c r="Q224" s="3237"/>
      <c r="R224" s="3238"/>
      <c r="S224" s="1929"/>
    </row>
    <row r="225" spans="1:27" ht="13.5" thickBot="1" x14ac:dyDescent="0.25">
      <c r="A225" s="1871"/>
      <c r="B225" s="591"/>
      <c r="O225" s="1930">
        <f>O223-'[7]פורמט משרד מקוצר'!$Q$273</f>
        <v>-168391.66666666651</v>
      </c>
    </row>
    <row r="226" spans="1:27" x14ac:dyDescent="0.2">
      <c r="A226" s="283">
        <v>16</v>
      </c>
      <c r="B226" s="1936" t="s">
        <v>211</v>
      </c>
      <c r="C226" s="3216" t="s">
        <v>87</v>
      </c>
      <c r="D226" s="3216"/>
      <c r="E226" s="3216"/>
      <c r="F226" s="1937"/>
      <c r="G226" s="1938"/>
      <c r="H226" s="3217" t="s">
        <v>88</v>
      </c>
      <c r="I226" s="3218"/>
      <c r="K226" s="182">
        <v>16</v>
      </c>
      <c r="L226" s="1936" t="s">
        <v>34</v>
      </c>
      <c r="M226" s="3207" t="s">
        <v>813</v>
      </c>
      <c r="N226" s="3208"/>
      <c r="O226" s="3209"/>
      <c r="P226" s="1937"/>
      <c r="Q226" s="1938"/>
      <c r="R226" s="3217" t="s">
        <v>88</v>
      </c>
      <c r="S226" s="3218"/>
      <c r="U226" s="3216" t="s">
        <v>506</v>
      </c>
      <c r="V226" s="3216"/>
      <c r="W226" s="3216"/>
      <c r="X226" s="1937"/>
      <c r="Y226" s="1939"/>
      <c r="Z226" s="3217" t="s">
        <v>88</v>
      </c>
      <c r="AA226" s="3218"/>
    </row>
    <row r="227" spans="1:27" ht="38.25" x14ac:dyDescent="0.2">
      <c r="A227" s="284"/>
      <c r="B227" s="590" t="s">
        <v>89</v>
      </c>
      <c r="C227" s="1831" t="s">
        <v>54</v>
      </c>
      <c r="D227" s="590" t="s">
        <v>91</v>
      </c>
      <c r="E227" s="590" t="s">
        <v>207</v>
      </c>
      <c r="F227" s="590" t="s">
        <v>106</v>
      </c>
      <c r="G227" s="1723"/>
      <c r="H227" s="1831" t="s">
        <v>54</v>
      </c>
      <c r="I227" s="1909" t="s">
        <v>92</v>
      </c>
      <c r="K227" s="185"/>
      <c r="L227" s="590" t="s">
        <v>89</v>
      </c>
      <c r="M227" s="1831" t="s">
        <v>54</v>
      </c>
      <c r="N227" s="590" t="s">
        <v>91</v>
      </c>
      <c r="O227" s="1830" t="s">
        <v>502</v>
      </c>
      <c r="P227" s="1950" t="s">
        <v>106</v>
      </c>
      <c r="Q227" s="1766"/>
      <c r="R227" s="1831" t="s">
        <v>54</v>
      </c>
      <c r="S227" s="1832" t="s">
        <v>502</v>
      </c>
      <c r="U227" s="590" t="s">
        <v>90</v>
      </c>
      <c r="V227" s="590" t="s">
        <v>91</v>
      </c>
      <c r="W227" s="1830" t="s">
        <v>507</v>
      </c>
      <c r="X227" s="590"/>
      <c r="Y227" s="1766"/>
      <c r="Z227" s="1831" t="s">
        <v>54</v>
      </c>
      <c r="AA227" s="1832" t="s">
        <v>507</v>
      </c>
    </row>
    <row r="228" spans="1:27" x14ac:dyDescent="0.2">
      <c r="A228" s="2085"/>
      <c r="B228" s="2086" t="s">
        <v>34</v>
      </c>
      <c r="C228" s="1721">
        <v>60</v>
      </c>
      <c r="D228" s="1721"/>
      <c r="E228" s="1722"/>
      <c r="F228" s="1722"/>
      <c r="G228" s="1723"/>
      <c r="H228" s="1724">
        <v>6</v>
      </c>
      <c r="I228" s="1725"/>
      <c r="K228" s="1918"/>
      <c r="L228" s="2087" t="s">
        <v>34</v>
      </c>
      <c r="M228" s="2021">
        <v>125</v>
      </c>
      <c r="N228" s="1926"/>
      <c r="O228" s="2084"/>
      <c r="P228" s="2084"/>
      <c r="Q228" s="1766"/>
      <c r="R228" s="2088">
        <v>12</v>
      </c>
      <c r="S228" s="1934"/>
      <c r="U228" s="1727">
        <f t="shared" ref="U228:AA234" si="60">M228-C228</f>
        <v>65</v>
      </c>
      <c r="V228" s="1727">
        <f t="shared" si="60"/>
        <v>0</v>
      </c>
      <c r="W228" s="1727">
        <f t="shared" si="60"/>
        <v>0</v>
      </c>
      <c r="X228" s="1743">
        <f t="shared" si="60"/>
        <v>0</v>
      </c>
      <c r="Y228" s="1728">
        <f t="shared" si="60"/>
        <v>0</v>
      </c>
      <c r="Z228" s="1769">
        <f t="shared" si="60"/>
        <v>6</v>
      </c>
      <c r="AA228" s="1770">
        <f t="shared" si="60"/>
        <v>0</v>
      </c>
    </row>
    <row r="229" spans="1:27" x14ac:dyDescent="0.2">
      <c r="A229" s="2089"/>
      <c r="B229" s="2086" t="s">
        <v>212</v>
      </c>
      <c r="C229" s="1721">
        <v>30</v>
      </c>
      <c r="D229" s="1721">
        <v>960</v>
      </c>
      <c r="E229" s="1722">
        <f>D229*C229</f>
        <v>28800</v>
      </c>
      <c r="F229" s="1722"/>
      <c r="G229" s="1723"/>
      <c r="H229" s="1724">
        <v>6</v>
      </c>
      <c r="I229" s="1915">
        <f>H229*D229</f>
        <v>5760</v>
      </c>
      <c r="K229" s="1918"/>
      <c r="L229" s="2090" t="s">
        <v>563</v>
      </c>
      <c r="M229" s="1926">
        <f>M228/2</f>
        <v>62.5</v>
      </c>
      <c r="N229" s="1926">
        <f>220*$J$1</f>
        <v>836</v>
      </c>
      <c r="O229" s="2084">
        <f>+N229*M229</f>
        <v>52250</v>
      </c>
      <c r="P229" s="2084"/>
      <c r="Q229" s="1766"/>
      <c r="R229" s="1933">
        <f>+R228</f>
        <v>12</v>
      </c>
      <c r="S229" s="2091">
        <f>+R229*N229</f>
        <v>10032</v>
      </c>
      <c r="U229" s="1727">
        <f t="shared" si="60"/>
        <v>32.5</v>
      </c>
      <c r="V229" s="1727">
        <f t="shared" si="60"/>
        <v>-124</v>
      </c>
      <c r="W229" s="1727">
        <f t="shared" si="60"/>
        <v>23450</v>
      </c>
      <c r="X229" s="1743">
        <f t="shared" si="60"/>
        <v>0</v>
      </c>
      <c r="Y229" s="1728">
        <f t="shared" si="60"/>
        <v>0</v>
      </c>
      <c r="Z229" s="1769">
        <f t="shared" si="60"/>
        <v>6</v>
      </c>
      <c r="AA229" s="1770">
        <f t="shared" si="60"/>
        <v>4272</v>
      </c>
    </row>
    <row r="230" spans="1:27" x14ac:dyDescent="0.2">
      <c r="A230" s="2089"/>
      <c r="B230" s="2092" t="s">
        <v>213</v>
      </c>
      <c r="C230" s="1721">
        <v>42</v>
      </c>
      <c r="D230" s="1721">
        <v>1008</v>
      </c>
      <c r="E230" s="1722">
        <f>D230*C230</f>
        <v>42336</v>
      </c>
      <c r="F230" s="1722"/>
      <c r="G230" s="1723"/>
      <c r="H230" s="1724"/>
      <c r="I230" s="1915"/>
      <c r="K230" s="1918"/>
      <c r="L230" s="2093" t="s">
        <v>564</v>
      </c>
      <c r="M230" s="1926">
        <v>92</v>
      </c>
      <c r="N230" s="1926">
        <f>300*$J$1</f>
        <v>1140</v>
      </c>
      <c r="O230" s="2084">
        <f>+N230*M230</f>
        <v>104880</v>
      </c>
      <c r="P230" s="2084"/>
      <c r="Q230" s="1766"/>
      <c r="R230" s="1933"/>
      <c r="S230" s="2091"/>
      <c r="U230" s="1727">
        <f t="shared" si="60"/>
        <v>50</v>
      </c>
      <c r="V230" s="1727">
        <f t="shared" si="60"/>
        <v>132</v>
      </c>
      <c r="W230" s="1727">
        <f t="shared" si="60"/>
        <v>62544</v>
      </c>
      <c r="X230" s="1743">
        <f t="shared" si="60"/>
        <v>0</v>
      </c>
      <c r="Y230" s="1728">
        <f t="shared" si="60"/>
        <v>0</v>
      </c>
      <c r="Z230" s="1769">
        <f t="shared" si="60"/>
        <v>0</v>
      </c>
      <c r="AA230" s="1770">
        <f t="shared" si="60"/>
        <v>0</v>
      </c>
    </row>
    <row r="231" spans="1:27" x14ac:dyDescent="0.2">
      <c r="A231" s="2089"/>
      <c r="B231" s="2092" t="s">
        <v>214</v>
      </c>
      <c r="C231" s="1721">
        <v>25</v>
      </c>
      <c r="D231" s="1721">
        <f>900*J3</f>
        <v>4320</v>
      </c>
      <c r="E231" s="1722">
        <f>D231*C231</f>
        <v>108000</v>
      </c>
      <c r="F231" s="1722"/>
      <c r="G231" s="1723"/>
      <c r="H231" s="1724">
        <v>72</v>
      </c>
      <c r="I231" s="1915">
        <f>H231*D231</f>
        <v>311040</v>
      </c>
      <c r="K231" s="1918"/>
      <c r="L231" s="2499" t="s">
        <v>826</v>
      </c>
      <c r="M231" s="1926">
        <v>60</v>
      </c>
      <c r="N231" s="1926">
        <f>130*2*$J$1</f>
        <v>988</v>
      </c>
      <c r="O231" s="2079">
        <f>+N231*M231</f>
        <v>59280</v>
      </c>
      <c r="P231" s="2084"/>
      <c r="Q231" s="1766"/>
      <c r="R231" s="1933">
        <v>12</v>
      </c>
      <c r="S231" s="2091">
        <f>+R231*N231</f>
        <v>11856</v>
      </c>
      <c r="U231" s="1727">
        <f t="shared" si="60"/>
        <v>35</v>
      </c>
      <c r="V231" s="1727">
        <f t="shared" si="60"/>
        <v>-3332</v>
      </c>
      <c r="W231" s="1727">
        <f t="shared" si="60"/>
        <v>-48720</v>
      </c>
      <c r="X231" s="1743">
        <f t="shared" si="60"/>
        <v>0</v>
      </c>
      <c r="Y231" s="1728">
        <f t="shared" si="60"/>
        <v>0</v>
      </c>
      <c r="Z231" s="1769">
        <f t="shared" si="60"/>
        <v>-60</v>
      </c>
      <c r="AA231" s="1770">
        <f t="shared" si="60"/>
        <v>-299184</v>
      </c>
    </row>
    <row r="232" spans="1:27" s="1881" customFormat="1" x14ac:dyDescent="0.2">
      <c r="A232" s="2500"/>
      <c r="B232" s="2501"/>
      <c r="C232" s="1914"/>
      <c r="D232" s="1914"/>
      <c r="E232" s="2502"/>
      <c r="F232" s="2502"/>
      <c r="G232" s="1869"/>
      <c r="H232" s="2055"/>
      <c r="I232" s="2503"/>
      <c r="J232" s="1731"/>
      <c r="K232" s="1918"/>
      <c r="L232" s="2506" t="s">
        <v>566</v>
      </c>
      <c r="M232" s="2021">
        <v>8</v>
      </c>
      <c r="N232" s="2021"/>
      <c r="O232" s="2504"/>
      <c r="P232" s="2504"/>
      <c r="Q232" s="2125"/>
      <c r="R232" s="2088"/>
      <c r="S232" s="2505"/>
      <c r="U232" s="1743">
        <f t="shared" si="60"/>
        <v>8</v>
      </c>
      <c r="V232" s="1743">
        <f t="shared" si="60"/>
        <v>0</v>
      </c>
      <c r="W232" s="1743">
        <f t="shared" si="60"/>
        <v>0</v>
      </c>
      <c r="X232" s="1743">
        <f t="shared" si="60"/>
        <v>0</v>
      </c>
      <c r="Y232" s="1744">
        <f t="shared" si="60"/>
        <v>0</v>
      </c>
      <c r="Z232" s="2057">
        <f t="shared" si="60"/>
        <v>0</v>
      </c>
      <c r="AA232" s="2058">
        <f t="shared" si="60"/>
        <v>0</v>
      </c>
    </row>
    <row r="233" spans="1:27" ht="25.5" x14ac:dyDescent="0.2">
      <c r="A233" s="2094"/>
      <c r="B233" s="2092"/>
      <c r="C233" s="1721"/>
      <c r="D233" s="1721"/>
      <c r="E233" s="1722"/>
      <c r="F233" s="1722"/>
      <c r="G233" s="1723"/>
      <c r="H233" s="1724"/>
      <c r="I233" s="1915"/>
      <c r="K233" s="1918"/>
      <c r="L233" s="2499" t="s">
        <v>567</v>
      </c>
      <c r="M233" s="1926">
        <f>M232</f>
        <v>8</v>
      </c>
      <c r="N233" s="1926">
        <f>(800+150*6+90*6+20*6)*$J$1</f>
        <v>8968</v>
      </c>
      <c r="O233" s="2095">
        <f>+N233*M233</f>
        <v>71744</v>
      </c>
      <c r="P233" s="2084"/>
      <c r="Q233" s="1766"/>
      <c r="R233" s="1933"/>
      <c r="S233" s="2091"/>
      <c r="U233" s="1727">
        <f t="shared" si="60"/>
        <v>8</v>
      </c>
      <c r="V233" s="1727">
        <f t="shared" si="60"/>
        <v>8968</v>
      </c>
      <c r="W233" s="1727">
        <f t="shared" si="60"/>
        <v>71744</v>
      </c>
      <c r="X233" s="1743">
        <f t="shared" si="60"/>
        <v>0</v>
      </c>
      <c r="Y233" s="1728">
        <f t="shared" si="60"/>
        <v>0</v>
      </c>
      <c r="Z233" s="1769">
        <f t="shared" si="60"/>
        <v>0</v>
      </c>
      <c r="AA233" s="1770">
        <f t="shared" si="60"/>
        <v>0</v>
      </c>
    </row>
    <row r="234" spans="1:27" x14ac:dyDescent="0.2">
      <c r="A234" s="2094"/>
      <c r="B234" s="2092"/>
      <c r="C234" s="1721"/>
      <c r="D234" s="1721"/>
      <c r="E234" s="1722"/>
      <c r="F234" s="1722"/>
      <c r="G234" s="1723"/>
      <c r="H234" s="1724"/>
      <c r="I234" s="1915"/>
      <c r="K234" s="1918"/>
      <c r="L234" s="1771" t="s">
        <v>419</v>
      </c>
      <c r="M234" s="1926">
        <f>M232*6</f>
        <v>48</v>
      </c>
      <c r="N234" s="1926">
        <f>350*$J$1</f>
        <v>1330</v>
      </c>
      <c r="O234" s="2095">
        <f>+N234*M234</f>
        <v>63840</v>
      </c>
      <c r="P234" s="2096"/>
      <c r="Q234" s="1766"/>
      <c r="R234" s="1933"/>
      <c r="S234" s="2091"/>
      <c r="U234" s="1727">
        <f t="shared" si="60"/>
        <v>48</v>
      </c>
      <c r="V234" s="1727">
        <f t="shared" si="60"/>
        <v>1330</v>
      </c>
      <c r="W234" s="1727">
        <f t="shared" si="60"/>
        <v>63840</v>
      </c>
      <c r="X234" s="1743">
        <f t="shared" si="60"/>
        <v>0</v>
      </c>
      <c r="Y234" s="1728">
        <f t="shared" si="60"/>
        <v>0</v>
      </c>
      <c r="Z234" s="1769">
        <f t="shared" si="60"/>
        <v>0</v>
      </c>
      <c r="AA234" s="1770">
        <f t="shared" si="60"/>
        <v>0</v>
      </c>
    </row>
    <row r="235" spans="1:27" ht="13.5" thickBot="1" x14ac:dyDescent="0.25">
      <c r="A235" s="285"/>
      <c r="B235" s="1905"/>
      <c r="C235" s="1779"/>
      <c r="D235" s="1779"/>
      <c r="E235" s="1779">
        <f>SUM(E229:E231)</f>
        <v>179136</v>
      </c>
      <c r="F235" s="1779">
        <f>SUM(F229:F230)</f>
        <v>0</v>
      </c>
      <c r="G235" s="1723"/>
      <c r="H235" s="1779"/>
      <c r="I235" s="1780">
        <f>SUM(I229:I231)</f>
        <v>316800</v>
      </c>
      <c r="K235" s="185"/>
      <c r="L235" s="1778" t="s">
        <v>13</v>
      </c>
      <c r="M235" s="1779"/>
      <c r="N235" s="1779"/>
      <c r="O235" s="1779">
        <f>SUM(O229:O234)</f>
        <v>351994</v>
      </c>
      <c r="P235" s="1779">
        <f>SUM(P229:P234)</f>
        <v>0</v>
      </c>
      <c r="Q235" s="1766"/>
      <c r="R235" s="1779"/>
      <c r="S235" s="1780">
        <f>SUM(S229:S231)</f>
        <v>21888</v>
      </c>
      <c r="U235" s="1781"/>
      <c r="V235" s="1781"/>
      <c r="W235" s="1782">
        <f>SUM(W229:W234)</f>
        <v>172858</v>
      </c>
      <c r="X235" s="1782">
        <f>SUM(X229:X234)</f>
        <v>0</v>
      </c>
      <c r="Y235" s="1782">
        <f>SUM(Y229:Y234)</f>
        <v>0</v>
      </c>
      <c r="Z235" s="1782"/>
      <c r="AA235" s="1782">
        <f>SUM(AA229:AA234)</f>
        <v>-294912</v>
      </c>
    </row>
    <row r="236" spans="1:27" ht="13.5" thickBot="1" x14ac:dyDescent="0.25">
      <c r="A236" s="2097"/>
      <c r="B236" s="2098" t="s">
        <v>215</v>
      </c>
      <c r="C236" s="1996"/>
      <c r="D236" s="1996"/>
      <c r="E236" s="1996"/>
      <c r="F236" s="1996"/>
      <c r="G236" s="1996"/>
      <c r="H236" s="1996"/>
      <c r="I236" s="1997"/>
      <c r="K236" s="464"/>
      <c r="L236" s="3239" t="s">
        <v>568</v>
      </c>
      <c r="M236" s="3239"/>
      <c r="N236" s="3239"/>
      <c r="O236" s="3239"/>
      <c r="P236" s="3239"/>
      <c r="Q236" s="3239"/>
      <c r="R236" s="3239"/>
      <c r="S236" s="1928"/>
    </row>
    <row r="237" spans="1:27" ht="13.5" thickBot="1" x14ac:dyDescent="0.25">
      <c r="A237" s="2074"/>
      <c r="B237" s="1757"/>
      <c r="C237" s="1971"/>
      <c r="D237" s="1971"/>
      <c r="E237" s="1971"/>
      <c r="F237" s="1971"/>
      <c r="G237" s="1971"/>
      <c r="H237" s="1971"/>
      <c r="I237" s="2099"/>
      <c r="K237" s="1998"/>
      <c r="L237" s="3240" t="s">
        <v>569</v>
      </c>
      <c r="M237" s="3241"/>
      <c r="N237" s="3241"/>
      <c r="O237" s="3241"/>
      <c r="P237" s="3241"/>
      <c r="Q237" s="3241"/>
      <c r="R237" s="3242"/>
      <c r="S237" s="2099"/>
    </row>
    <row r="238" spans="1:27" ht="13.5" thickBot="1" x14ac:dyDescent="0.25">
      <c r="A238" s="1731"/>
      <c r="B238" s="1731"/>
      <c r="O238" s="1930">
        <f>-O235+'[6]פורמט משרד'!$Q$286</f>
        <v>-77862</v>
      </c>
    </row>
    <row r="239" spans="1:27" x14ac:dyDescent="0.2">
      <c r="A239" s="182">
        <v>17</v>
      </c>
      <c r="B239" s="1936" t="s">
        <v>216</v>
      </c>
      <c r="C239" s="3216" t="s">
        <v>87</v>
      </c>
      <c r="D239" s="3216"/>
      <c r="E239" s="3216"/>
      <c r="F239" s="1937"/>
      <c r="G239" s="1938"/>
      <c r="H239" s="3217" t="s">
        <v>88</v>
      </c>
      <c r="I239" s="3218"/>
      <c r="K239" s="182">
        <v>17</v>
      </c>
      <c r="L239" s="1936" t="s">
        <v>82</v>
      </c>
      <c r="M239" s="3207" t="s">
        <v>813</v>
      </c>
      <c r="N239" s="3208"/>
      <c r="O239" s="3209"/>
      <c r="P239" s="1937"/>
      <c r="Q239" s="1938"/>
      <c r="R239" s="3217" t="s">
        <v>88</v>
      </c>
      <c r="S239" s="3218"/>
      <c r="U239" s="3216" t="s">
        <v>506</v>
      </c>
      <c r="V239" s="3216"/>
      <c r="W239" s="3216"/>
      <c r="X239" s="1937"/>
      <c r="Y239" s="1939"/>
      <c r="Z239" s="3217" t="s">
        <v>88</v>
      </c>
      <c r="AA239" s="3218"/>
    </row>
    <row r="240" spans="1:27" ht="38.25" x14ac:dyDescent="0.2">
      <c r="A240" s="185"/>
      <c r="B240" s="590" t="s">
        <v>89</v>
      </c>
      <c r="C240" s="1831" t="s">
        <v>54</v>
      </c>
      <c r="D240" s="590" t="s">
        <v>91</v>
      </c>
      <c r="E240" s="590" t="s">
        <v>207</v>
      </c>
      <c r="F240" s="590" t="s">
        <v>106</v>
      </c>
      <c r="G240" s="1723"/>
      <c r="H240" s="1831" t="s">
        <v>54</v>
      </c>
      <c r="I240" s="1909" t="s">
        <v>92</v>
      </c>
      <c r="K240" s="185"/>
      <c r="L240" s="590" t="s">
        <v>89</v>
      </c>
      <c r="M240" s="1831" t="s">
        <v>54</v>
      </c>
      <c r="N240" s="590" t="s">
        <v>91</v>
      </c>
      <c r="O240" s="1830" t="s">
        <v>502</v>
      </c>
      <c r="P240" s="1950" t="s">
        <v>106</v>
      </c>
      <c r="Q240" s="1766"/>
      <c r="R240" s="1831" t="s">
        <v>54</v>
      </c>
      <c r="S240" s="1832" t="s">
        <v>502</v>
      </c>
      <c r="U240" s="590" t="s">
        <v>90</v>
      </c>
      <c r="V240" s="590" t="s">
        <v>91</v>
      </c>
      <c r="W240" s="1830" t="s">
        <v>507</v>
      </c>
      <c r="X240" s="590"/>
      <c r="Y240" s="1766"/>
      <c r="Z240" s="1831" t="s">
        <v>54</v>
      </c>
      <c r="AA240" s="1832" t="s">
        <v>507</v>
      </c>
    </row>
    <row r="241" spans="1:27" ht="25.5" x14ac:dyDescent="0.2">
      <c r="A241" s="1729"/>
      <c r="B241" s="1720" t="s">
        <v>217</v>
      </c>
      <c r="C241" s="1721">
        <v>1000</v>
      </c>
      <c r="D241" s="1721">
        <v>8</v>
      </c>
      <c r="E241" s="1722">
        <f>D241*C241</f>
        <v>8000</v>
      </c>
      <c r="F241" s="1722"/>
      <c r="G241" s="1723"/>
      <c r="H241" s="1724"/>
      <c r="I241" s="1725"/>
      <c r="K241" s="1918"/>
      <c r="L241" s="1720" t="s">
        <v>570</v>
      </c>
      <c r="M241" s="1926">
        <v>0</v>
      </c>
      <c r="N241" s="1926">
        <f>D241</f>
        <v>8</v>
      </c>
      <c r="O241" s="2084">
        <f t="shared" ref="O241:O246" si="61">+N241*M241</f>
        <v>0</v>
      </c>
      <c r="P241" s="2084"/>
      <c r="Q241" s="1766"/>
      <c r="R241" s="1933"/>
      <c r="S241" s="1934"/>
      <c r="U241" s="1727">
        <f t="shared" ref="U241:AA246" si="62">M241-C241</f>
        <v>-1000</v>
      </c>
      <c r="V241" s="1727">
        <f t="shared" si="62"/>
        <v>0</v>
      </c>
      <c r="W241" s="1727">
        <f t="shared" si="62"/>
        <v>-8000</v>
      </c>
      <c r="X241" s="1743">
        <f t="shared" si="62"/>
        <v>0</v>
      </c>
      <c r="Y241" s="1728">
        <f t="shared" si="62"/>
        <v>0</v>
      </c>
      <c r="Z241" s="1769">
        <f t="shared" si="62"/>
        <v>0</v>
      </c>
      <c r="AA241" s="1770">
        <f t="shared" si="62"/>
        <v>0</v>
      </c>
    </row>
    <row r="242" spans="1:27" x14ac:dyDescent="0.2">
      <c r="A242" s="1729"/>
      <c r="B242" s="1720" t="s">
        <v>218</v>
      </c>
      <c r="C242" s="1721">
        <v>15</v>
      </c>
      <c r="D242" s="1721">
        <f>2000*4.5</f>
        <v>9000</v>
      </c>
      <c r="E242" s="1722">
        <f>D242*C242</f>
        <v>135000</v>
      </c>
      <c r="F242" s="1722"/>
      <c r="G242" s="1723"/>
      <c r="H242" s="1724"/>
      <c r="I242" s="1725"/>
      <c r="K242" s="1918"/>
      <c r="L242" s="1720" t="s">
        <v>218</v>
      </c>
      <c r="M242" s="1926">
        <v>0</v>
      </c>
      <c r="N242" s="1926">
        <f>2000*$J$1</f>
        <v>7600</v>
      </c>
      <c r="O242" s="2084">
        <f t="shared" si="61"/>
        <v>0</v>
      </c>
      <c r="P242" s="2084"/>
      <c r="Q242" s="1766"/>
      <c r="R242" s="1933"/>
      <c r="S242" s="1934"/>
      <c r="U242" s="1727">
        <f t="shared" si="62"/>
        <v>-15</v>
      </c>
      <c r="V242" s="1727">
        <f t="shared" si="62"/>
        <v>-1400</v>
      </c>
      <c r="W242" s="1727">
        <f t="shared" si="62"/>
        <v>-135000</v>
      </c>
      <c r="X242" s="1743">
        <f t="shared" si="62"/>
        <v>0</v>
      </c>
      <c r="Y242" s="1728">
        <f t="shared" si="62"/>
        <v>0</v>
      </c>
      <c r="Z242" s="1769">
        <f t="shared" si="62"/>
        <v>0</v>
      </c>
      <c r="AA242" s="1770">
        <f t="shared" si="62"/>
        <v>0</v>
      </c>
    </row>
    <row r="243" spans="1:27" x14ac:dyDescent="0.2">
      <c r="A243" s="1729"/>
      <c r="B243" s="1720" t="s">
        <v>219</v>
      </c>
      <c r="C243" s="1721">
        <v>15</v>
      </c>
      <c r="D243" s="1721">
        <f>3300*4.5</f>
        <v>14850</v>
      </c>
      <c r="E243" s="1722">
        <f>D243*C243</f>
        <v>222750</v>
      </c>
      <c r="F243" s="1722"/>
      <c r="G243" s="1723"/>
      <c r="H243" s="1724"/>
      <c r="I243" s="1725"/>
      <c r="K243" s="1918"/>
      <c r="L243" s="1720" t="s">
        <v>571</v>
      </c>
      <c r="M243" s="1926">
        <v>0</v>
      </c>
      <c r="N243" s="1926">
        <f>3500*$J$1</f>
        <v>13300</v>
      </c>
      <c r="O243" s="2084">
        <f t="shared" si="61"/>
        <v>0</v>
      </c>
      <c r="P243" s="2084"/>
      <c r="Q243" s="1766"/>
      <c r="R243" s="1933"/>
      <c r="S243" s="1934"/>
      <c r="U243" s="1727">
        <f t="shared" si="62"/>
        <v>-15</v>
      </c>
      <c r="V243" s="1727">
        <f t="shared" si="62"/>
        <v>-1550</v>
      </c>
      <c r="W243" s="1727">
        <f t="shared" si="62"/>
        <v>-222750</v>
      </c>
      <c r="X243" s="1743">
        <f t="shared" si="62"/>
        <v>0</v>
      </c>
      <c r="Y243" s="1728">
        <f t="shared" si="62"/>
        <v>0</v>
      </c>
      <c r="Z243" s="1769">
        <f t="shared" si="62"/>
        <v>0</v>
      </c>
      <c r="AA243" s="1770">
        <f t="shared" si="62"/>
        <v>0</v>
      </c>
    </row>
    <row r="244" spans="1:27" ht="25.5" x14ac:dyDescent="0.2">
      <c r="A244" s="1729"/>
      <c r="B244" s="1720" t="s">
        <v>220</v>
      </c>
      <c r="C244" s="1721">
        <v>12</v>
      </c>
      <c r="D244" s="1721">
        <f>2000*4.5</f>
        <v>9000</v>
      </c>
      <c r="E244" s="1722">
        <f>D244*C244</f>
        <v>108000</v>
      </c>
      <c r="F244" s="1722"/>
      <c r="G244" s="1723"/>
      <c r="H244" s="1724"/>
      <c r="I244" s="1725"/>
      <c r="K244" s="1918"/>
      <c r="L244" s="1720" t="s">
        <v>220</v>
      </c>
      <c r="M244" s="1926">
        <v>17</v>
      </c>
      <c r="N244" s="1926">
        <f>2000*$J$1</f>
        <v>7600</v>
      </c>
      <c r="O244" s="2084">
        <f t="shared" si="61"/>
        <v>129200</v>
      </c>
      <c r="P244" s="2084"/>
      <c r="Q244" s="1766"/>
      <c r="R244" s="1933"/>
      <c r="S244" s="1934"/>
      <c r="U244" s="1727">
        <f t="shared" si="62"/>
        <v>5</v>
      </c>
      <c r="V244" s="1727">
        <f t="shared" si="62"/>
        <v>-1400</v>
      </c>
      <c r="W244" s="1727">
        <f t="shared" si="62"/>
        <v>21200</v>
      </c>
      <c r="X244" s="1743">
        <f t="shared" si="62"/>
        <v>0</v>
      </c>
      <c r="Y244" s="1728">
        <f t="shared" si="62"/>
        <v>0</v>
      </c>
      <c r="Z244" s="1769">
        <f t="shared" si="62"/>
        <v>0</v>
      </c>
      <c r="AA244" s="1770">
        <f t="shared" si="62"/>
        <v>0</v>
      </c>
    </row>
    <row r="245" spans="1:27" x14ac:dyDescent="0.2">
      <c r="A245" s="1729"/>
      <c r="B245" s="1732" t="s">
        <v>221</v>
      </c>
      <c r="C245" s="1721">
        <v>12</v>
      </c>
      <c r="D245" s="1721">
        <v>2700</v>
      </c>
      <c r="E245" s="1722">
        <f>D245*C245</f>
        <v>32400</v>
      </c>
      <c r="F245" s="1722"/>
      <c r="G245" s="1723"/>
      <c r="H245" s="1724"/>
      <c r="I245" s="1725"/>
      <c r="K245" s="1918"/>
      <c r="L245" s="1732" t="s">
        <v>221</v>
      </c>
      <c r="M245" s="1926">
        <v>26</v>
      </c>
      <c r="N245" s="1926">
        <v>2700</v>
      </c>
      <c r="O245" s="2084">
        <f t="shared" si="61"/>
        <v>70200</v>
      </c>
      <c r="P245" s="2084"/>
      <c r="Q245" s="1766"/>
      <c r="R245" s="1933"/>
      <c r="S245" s="1934"/>
      <c r="U245" s="1727">
        <f t="shared" si="62"/>
        <v>14</v>
      </c>
      <c r="V245" s="1727">
        <f t="shared" si="62"/>
        <v>0</v>
      </c>
      <c r="W245" s="1727">
        <f t="shared" si="62"/>
        <v>37800</v>
      </c>
      <c r="X245" s="1743">
        <f t="shared" si="62"/>
        <v>0</v>
      </c>
      <c r="Y245" s="1728">
        <f t="shared" si="62"/>
        <v>0</v>
      </c>
      <c r="Z245" s="1769">
        <f t="shared" si="62"/>
        <v>0</v>
      </c>
      <c r="AA245" s="1770">
        <f t="shared" si="62"/>
        <v>0</v>
      </c>
    </row>
    <row r="246" spans="1:27" ht="49.5" customHeight="1" x14ac:dyDescent="0.2">
      <c r="A246" s="1733"/>
      <c r="B246" s="1734"/>
      <c r="C246" s="1735"/>
      <c r="D246" s="1735"/>
      <c r="E246" s="1736"/>
      <c r="F246" s="1736"/>
      <c r="G246" s="1737"/>
      <c r="H246" s="1738"/>
      <c r="I246" s="1739"/>
      <c r="K246" s="2100"/>
      <c r="L246" s="1734" t="s">
        <v>572</v>
      </c>
      <c r="M246" s="1926">
        <v>0</v>
      </c>
      <c r="N246" s="2507">
        <v>40000</v>
      </c>
      <c r="O246" s="2084">
        <f t="shared" si="61"/>
        <v>0</v>
      </c>
      <c r="P246" s="2101"/>
      <c r="Q246" s="2102"/>
      <c r="R246" s="1767"/>
      <c r="S246" s="1768"/>
      <c r="U246" s="1727">
        <f t="shared" si="62"/>
        <v>0</v>
      </c>
      <c r="V246" s="1727">
        <f t="shared" si="62"/>
        <v>40000</v>
      </c>
      <c r="W246" s="1727">
        <f t="shared" si="62"/>
        <v>0</v>
      </c>
      <c r="X246" s="1743">
        <f t="shared" si="62"/>
        <v>0</v>
      </c>
      <c r="Y246" s="1728">
        <f t="shared" si="62"/>
        <v>0</v>
      </c>
      <c r="Z246" s="1769">
        <f t="shared" si="62"/>
        <v>0</v>
      </c>
      <c r="AA246" s="1770">
        <f t="shared" si="62"/>
        <v>0</v>
      </c>
    </row>
    <row r="247" spans="1:27" ht="13.5" thickBot="1" x14ac:dyDescent="0.25">
      <c r="A247" s="200"/>
      <c r="B247" s="1895"/>
      <c r="C247" s="1896"/>
      <c r="D247" s="1896"/>
      <c r="E247" s="1896">
        <f>SUM(E241:E245)</f>
        <v>506150</v>
      </c>
      <c r="F247" s="1896">
        <f>SUM(F241:F243)</f>
        <v>0</v>
      </c>
      <c r="G247" s="1897"/>
      <c r="H247" s="1896"/>
      <c r="I247" s="1898"/>
      <c r="K247" s="185"/>
      <c r="L247" s="1778" t="s">
        <v>13</v>
      </c>
      <c r="M247" s="1779"/>
      <c r="N247" s="1779"/>
      <c r="O247" s="1779">
        <f>SUM(O241:O246)</f>
        <v>199400</v>
      </c>
      <c r="P247" s="1779"/>
      <c r="Q247" s="1766"/>
      <c r="R247" s="1779"/>
      <c r="S247" s="1780"/>
      <c r="U247" s="1781"/>
      <c r="V247" s="1781"/>
      <c r="W247" s="1782">
        <f>SUM(W241:W246)</f>
        <v>-306750</v>
      </c>
      <c r="X247" s="1782">
        <f>SUM(X242:X246)</f>
        <v>0</v>
      </c>
      <c r="Y247" s="1782">
        <f>SUM(Y242:Y246)</f>
        <v>0</v>
      </c>
      <c r="Z247" s="1782">
        <f>SUM(Z242:Z246)</f>
        <v>0</v>
      </c>
      <c r="AA247" s="1782">
        <f>SUM(AA242:AA246)</f>
        <v>0</v>
      </c>
    </row>
    <row r="248" spans="1:27" ht="36" customHeight="1" thickBot="1" x14ac:dyDescent="0.25">
      <c r="A248" s="1871"/>
      <c r="B248" s="591"/>
      <c r="E248" s="1902"/>
      <c r="K248" s="1998"/>
      <c r="L248" s="3236" t="s">
        <v>573</v>
      </c>
      <c r="M248" s="3237"/>
      <c r="N248" s="3237"/>
      <c r="O248" s="3237"/>
      <c r="P248" s="3237"/>
      <c r="Q248" s="3237"/>
      <c r="R248" s="3238"/>
      <c r="S248" s="2103"/>
    </row>
    <row r="249" spans="1:27" ht="13.5" thickBot="1" x14ac:dyDescent="0.25">
      <c r="A249" s="1871"/>
      <c r="B249" s="591"/>
      <c r="K249" s="2104"/>
      <c r="O249" s="1930"/>
    </row>
    <row r="250" spans="1:27" x14ac:dyDescent="0.2">
      <c r="A250" s="182">
        <v>18</v>
      </c>
      <c r="B250" s="1936" t="s">
        <v>222</v>
      </c>
      <c r="C250" s="3216" t="s">
        <v>87</v>
      </c>
      <c r="D250" s="3216"/>
      <c r="E250" s="3216"/>
      <c r="F250" s="1937"/>
      <c r="G250" s="1938"/>
      <c r="H250" s="3217" t="s">
        <v>88</v>
      </c>
      <c r="I250" s="3218"/>
      <c r="K250" s="182">
        <v>18</v>
      </c>
      <c r="L250" s="1936" t="s">
        <v>35</v>
      </c>
      <c r="M250" s="3207" t="s">
        <v>813</v>
      </c>
      <c r="N250" s="3208"/>
      <c r="O250" s="3209"/>
      <c r="P250" s="1937"/>
      <c r="Q250" s="1938"/>
      <c r="R250" s="3217" t="s">
        <v>88</v>
      </c>
      <c r="S250" s="3218"/>
      <c r="U250" s="3216" t="s">
        <v>506</v>
      </c>
      <c r="V250" s="3216"/>
      <c r="W250" s="3216"/>
      <c r="X250" s="1937"/>
      <c r="Y250" s="1939"/>
      <c r="Z250" s="3217" t="s">
        <v>88</v>
      </c>
      <c r="AA250" s="3218"/>
    </row>
    <row r="251" spans="1:27" ht="38.25" x14ac:dyDescent="0.2">
      <c r="A251" s="185"/>
      <c r="B251" s="590" t="s">
        <v>89</v>
      </c>
      <c r="C251" s="1831" t="s">
        <v>54</v>
      </c>
      <c r="D251" s="590" t="s">
        <v>91</v>
      </c>
      <c r="E251" s="590" t="s">
        <v>207</v>
      </c>
      <c r="F251" s="590" t="s">
        <v>106</v>
      </c>
      <c r="G251" s="1723"/>
      <c r="H251" s="1831" t="s">
        <v>54</v>
      </c>
      <c r="I251" s="1909" t="s">
        <v>92</v>
      </c>
      <c r="K251" s="185"/>
      <c r="L251" s="590" t="s">
        <v>89</v>
      </c>
      <c r="M251" s="1831" t="s">
        <v>54</v>
      </c>
      <c r="N251" s="590" t="s">
        <v>91</v>
      </c>
      <c r="O251" s="1830" t="s">
        <v>502</v>
      </c>
      <c r="P251" s="1950" t="s">
        <v>106</v>
      </c>
      <c r="Q251" s="1766"/>
      <c r="R251" s="1831" t="s">
        <v>54</v>
      </c>
      <c r="S251" s="1832" t="s">
        <v>502</v>
      </c>
      <c r="U251" s="590" t="s">
        <v>90</v>
      </c>
      <c r="V251" s="590" t="s">
        <v>91</v>
      </c>
      <c r="W251" s="1830" t="s">
        <v>507</v>
      </c>
      <c r="X251" s="590"/>
      <c r="Y251" s="1766"/>
      <c r="Z251" s="1831" t="s">
        <v>54</v>
      </c>
      <c r="AA251" s="1832" t="s">
        <v>507</v>
      </c>
    </row>
    <row r="252" spans="1:27" x14ac:dyDescent="0.2">
      <c r="A252" s="1729"/>
      <c r="B252" s="1720" t="s">
        <v>223</v>
      </c>
      <c r="C252" s="1721">
        <v>15</v>
      </c>
      <c r="D252" s="1721">
        <v>1000</v>
      </c>
      <c r="E252" s="1722">
        <f>D252*C252</f>
        <v>15000</v>
      </c>
      <c r="F252" s="1722"/>
      <c r="G252" s="1723"/>
      <c r="H252" s="1724"/>
      <c r="I252" s="1725"/>
      <c r="K252" s="1918"/>
      <c r="L252" s="1720" t="s">
        <v>223</v>
      </c>
      <c r="M252" s="1926">
        <v>35</v>
      </c>
      <c r="N252" s="1926">
        <v>1000</v>
      </c>
      <c r="O252" s="2084">
        <f>+N252*M252</f>
        <v>35000</v>
      </c>
      <c r="P252" s="2084"/>
      <c r="Q252" s="1766"/>
      <c r="R252" s="1933"/>
      <c r="S252" s="1934"/>
      <c r="U252" s="1727">
        <f t="shared" ref="U252:AA253" si="63">M252-C252</f>
        <v>20</v>
      </c>
      <c r="V252" s="1727">
        <f t="shared" si="63"/>
        <v>0</v>
      </c>
      <c r="W252" s="1727">
        <f t="shared" si="63"/>
        <v>20000</v>
      </c>
      <c r="X252" s="1743">
        <f t="shared" si="63"/>
        <v>0</v>
      </c>
      <c r="Y252" s="1728">
        <f t="shared" si="63"/>
        <v>0</v>
      </c>
      <c r="Z252" s="1769">
        <f t="shared" si="63"/>
        <v>0</v>
      </c>
      <c r="AA252" s="1770">
        <f t="shared" si="63"/>
        <v>0</v>
      </c>
    </row>
    <row r="253" spans="1:27" x14ac:dyDescent="0.2">
      <c r="A253" s="1729"/>
      <c r="B253" s="1720" t="s">
        <v>224</v>
      </c>
      <c r="C253" s="1721">
        <v>15</v>
      </c>
      <c r="D253" s="1721">
        <v>1200</v>
      </c>
      <c r="E253" s="1722">
        <f>D253*C253</f>
        <v>18000</v>
      </c>
      <c r="F253" s="1722"/>
      <c r="G253" s="1723"/>
      <c r="H253" s="1724"/>
      <c r="I253" s="1725"/>
      <c r="K253" s="1918"/>
      <c r="L253" s="1720" t="s">
        <v>224</v>
      </c>
      <c r="M253" s="1926">
        <v>35</v>
      </c>
      <c r="N253" s="1926">
        <v>1200</v>
      </c>
      <c r="O253" s="2084">
        <f>+N253*M253</f>
        <v>42000</v>
      </c>
      <c r="P253" s="2084"/>
      <c r="Q253" s="1766"/>
      <c r="R253" s="1933"/>
      <c r="S253" s="1934"/>
      <c r="U253" s="1727">
        <f t="shared" si="63"/>
        <v>20</v>
      </c>
      <c r="V253" s="1727">
        <f t="shared" si="63"/>
        <v>0</v>
      </c>
      <c r="W253" s="1727">
        <f t="shared" si="63"/>
        <v>24000</v>
      </c>
      <c r="X253" s="1743">
        <f t="shared" si="63"/>
        <v>0</v>
      </c>
      <c r="Y253" s="1728">
        <f t="shared" si="63"/>
        <v>0</v>
      </c>
      <c r="Z253" s="1769">
        <f t="shared" si="63"/>
        <v>0</v>
      </c>
      <c r="AA253" s="1770">
        <f t="shared" si="63"/>
        <v>0</v>
      </c>
    </row>
    <row r="254" spans="1:27" ht="13.5" thickBot="1" x14ac:dyDescent="0.25">
      <c r="A254" s="200"/>
      <c r="B254" s="1895"/>
      <c r="C254" s="1896"/>
      <c r="D254" s="1896"/>
      <c r="E254" s="1896">
        <f>SUM(E252:E253)</f>
        <v>33000</v>
      </c>
      <c r="F254" s="1896">
        <f>SUM(F252:F253)</f>
        <v>0</v>
      </c>
      <c r="G254" s="1897"/>
      <c r="H254" s="1896"/>
      <c r="I254" s="1898"/>
      <c r="K254" s="185"/>
      <c r="L254" s="1778" t="s">
        <v>13</v>
      </c>
      <c r="M254" s="1779"/>
      <c r="N254" s="1779"/>
      <c r="O254" s="1779">
        <f>SUM(O252:O253)</f>
        <v>77000</v>
      </c>
      <c r="P254" s="1779"/>
      <c r="Q254" s="1766"/>
      <c r="R254" s="1779"/>
      <c r="S254" s="1780"/>
      <c r="U254" s="1781"/>
      <c r="V254" s="1781"/>
      <c r="W254" s="1782">
        <f>SUM(W252:W253)</f>
        <v>44000</v>
      </c>
      <c r="X254" s="1782">
        <f>SUM(X253:X253)</f>
        <v>0</v>
      </c>
      <c r="Y254" s="1782">
        <f>SUM(Y253:Y253)</f>
        <v>0</v>
      </c>
      <c r="Z254" s="1782">
        <f>SUM(Z253:Z253)</f>
        <v>0</v>
      </c>
      <c r="AA254" s="1782">
        <f>SUM(AA253:AA253)</f>
        <v>0</v>
      </c>
    </row>
    <row r="255" spans="1:27" ht="13.5" thickBot="1" x14ac:dyDescent="0.25">
      <c r="K255" s="1998"/>
      <c r="L255" s="3236"/>
      <c r="M255" s="3237"/>
      <c r="N255" s="3237"/>
      <c r="O255" s="3237"/>
      <c r="P255" s="3237"/>
      <c r="Q255" s="3237"/>
      <c r="R255" s="3238"/>
      <c r="S255" s="2103"/>
    </row>
    <row r="256" spans="1:27" x14ac:dyDescent="0.2">
      <c r="B256" s="2105"/>
      <c r="C256" s="2105"/>
      <c r="D256" s="2105"/>
      <c r="E256" s="2105"/>
      <c r="F256" s="2105"/>
      <c r="G256" s="2105"/>
      <c r="H256" s="2105"/>
      <c r="I256" s="2105"/>
      <c r="O256" s="1930">
        <f>O254-'[7]פורמט משרד מקוצר'!$Q$304</f>
        <v>0</v>
      </c>
    </row>
    <row r="257" spans="1:27" x14ac:dyDescent="0.2">
      <c r="A257" s="1731"/>
      <c r="B257" s="1731"/>
    </row>
    <row r="258" spans="1:27" ht="13.5" thickBot="1" x14ac:dyDescent="0.25">
      <c r="E258" s="1930"/>
      <c r="F258" s="1930"/>
    </row>
    <row r="259" spans="1:27" ht="15" customHeight="1" x14ac:dyDescent="0.2">
      <c r="A259" s="182">
        <v>19</v>
      </c>
      <c r="B259" s="1936" t="s">
        <v>574</v>
      </c>
      <c r="C259" s="3226" t="s">
        <v>501</v>
      </c>
      <c r="D259" s="3227"/>
      <c r="E259" s="3228"/>
      <c r="F259" s="1937"/>
      <c r="G259" s="1938"/>
      <c r="H259" s="3217" t="s">
        <v>88</v>
      </c>
      <c r="I259" s="3218"/>
      <c r="K259" s="182">
        <v>19</v>
      </c>
      <c r="L259" s="1936" t="s">
        <v>782</v>
      </c>
      <c r="M259" s="3207" t="s">
        <v>812</v>
      </c>
      <c r="N259" s="3208"/>
      <c r="O259" s="3209"/>
      <c r="P259" s="1937"/>
      <c r="Q259" s="1938"/>
      <c r="R259" s="3217" t="s">
        <v>88</v>
      </c>
      <c r="S259" s="3218"/>
      <c r="U259" s="3216" t="s">
        <v>506</v>
      </c>
      <c r="V259" s="3216"/>
      <c r="W259" s="3216"/>
      <c r="X259" s="1937"/>
      <c r="Y259" s="1939"/>
      <c r="Z259" s="3217" t="s">
        <v>88</v>
      </c>
      <c r="AA259" s="3218"/>
    </row>
    <row r="260" spans="1:27" ht="38.25" x14ac:dyDescent="0.2">
      <c r="A260" s="284"/>
      <c r="B260" s="590" t="s">
        <v>89</v>
      </c>
      <c r="C260" s="1831" t="s">
        <v>54</v>
      </c>
      <c r="D260" s="590" t="s">
        <v>91</v>
      </c>
      <c r="E260" s="1830" t="s">
        <v>502</v>
      </c>
      <c r="F260" s="590" t="s">
        <v>106</v>
      </c>
      <c r="G260" s="1766"/>
      <c r="H260" s="1831" t="s">
        <v>54</v>
      </c>
      <c r="I260" s="1832" t="s">
        <v>502</v>
      </c>
      <c r="K260" s="284"/>
      <c r="L260" s="590" t="s">
        <v>89</v>
      </c>
      <c r="M260" s="1831" t="s">
        <v>54</v>
      </c>
      <c r="N260" s="590" t="s">
        <v>91</v>
      </c>
      <c r="O260" s="1830" t="s">
        <v>502</v>
      </c>
      <c r="P260" s="590" t="s">
        <v>106</v>
      </c>
      <c r="Q260" s="1766"/>
      <c r="R260" s="1831" t="s">
        <v>54</v>
      </c>
      <c r="S260" s="1832" t="s">
        <v>502</v>
      </c>
      <c r="U260" s="590" t="s">
        <v>90</v>
      </c>
      <c r="V260" s="590" t="s">
        <v>91</v>
      </c>
      <c r="W260" s="1830" t="s">
        <v>507</v>
      </c>
      <c r="X260" s="590"/>
      <c r="Y260" s="1766"/>
      <c r="Z260" s="1831" t="s">
        <v>54</v>
      </c>
      <c r="AA260" s="1832" t="s">
        <v>507</v>
      </c>
    </row>
    <row r="261" spans="1:27" x14ac:dyDescent="0.2">
      <c r="A261" s="284"/>
      <c r="B261" s="1899" t="s">
        <v>575</v>
      </c>
      <c r="C261" s="2108">
        <v>0</v>
      </c>
      <c r="D261" s="2108">
        <v>0</v>
      </c>
      <c r="E261" s="1765">
        <f>+D261*C261</f>
        <v>0</v>
      </c>
      <c r="F261" s="1899"/>
      <c r="G261" s="1766"/>
      <c r="H261" s="1931"/>
      <c r="I261" s="1917"/>
      <c r="K261" s="284"/>
      <c r="L261" s="1899" t="s">
        <v>575</v>
      </c>
      <c r="M261" s="1931">
        <v>1</v>
      </c>
      <c r="N261" s="1899"/>
      <c r="O261" s="1916"/>
      <c r="P261" s="1899"/>
      <c r="Q261" s="1766"/>
      <c r="R261" s="1931"/>
      <c r="S261" s="1917"/>
      <c r="U261" s="1727">
        <f t="shared" ref="U261:AA263" si="64">M261-C261</f>
        <v>1</v>
      </c>
      <c r="V261" s="1727">
        <f t="shared" si="64"/>
        <v>0</v>
      </c>
      <c r="W261" s="1727">
        <f t="shared" si="64"/>
        <v>0</v>
      </c>
      <c r="X261" s="1743">
        <f t="shared" si="64"/>
        <v>0</v>
      </c>
      <c r="Y261" s="1728">
        <f t="shared" si="64"/>
        <v>0</v>
      </c>
      <c r="Z261" s="1769">
        <f t="shared" si="64"/>
        <v>0</v>
      </c>
      <c r="AA261" s="1770">
        <f t="shared" si="64"/>
        <v>0</v>
      </c>
    </row>
    <row r="262" spans="1:27" x14ac:dyDescent="0.2">
      <c r="A262" s="284"/>
      <c r="B262" s="1899"/>
      <c r="C262" s="2108"/>
      <c r="D262" s="2108"/>
      <c r="E262" s="1765"/>
      <c r="F262" s="1899"/>
      <c r="G262" s="1766"/>
      <c r="H262" s="1931"/>
      <c r="I262" s="1917"/>
      <c r="K262" s="284"/>
      <c r="L262" s="1899" t="s">
        <v>875</v>
      </c>
      <c r="M262" s="1931">
        <v>600</v>
      </c>
      <c r="N262" s="1899"/>
      <c r="O262" s="1916"/>
      <c r="P262" s="1899"/>
      <c r="Q262" s="1766"/>
      <c r="R262" s="1931"/>
      <c r="S262" s="1917"/>
      <c r="U262" s="1727"/>
      <c r="V262" s="1727"/>
      <c r="W262" s="1727"/>
      <c r="X262" s="1743"/>
      <c r="Y262" s="1728"/>
      <c r="Z262" s="1769"/>
      <c r="AA262" s="1770"/>
    </row>
    <row r="263" spans="1:27" ht="38.25" x14ac:dyDescent="0.2">
      <c r="A263" s="284"/>
      <c r="B263" s="2109" t="s">
        <v>576</v>
      </c>
      <c r="C263" s="2108">
        <v>0</v>
      </c>
      <c r="D263" s="2108">
        <v>0</v>
      </c>
      <c r="E263" s="1765">
        <f>+D263*C263</f>
        <v>0</v>
      </c>
      <c r="F263" s="2109"/>
      <c r="G263" s="1766"/>
      <c r="H263" s="2110"/>
      <c r="I263" s="2111"/>
      <c r="K263" s="284"/>
      <c r="L263" s="2109" t="s">
        <v>855</v>
      </c>
      <c r="M263" s="2112">
        <v>1</v>
      </c>
      <c r="N263" s="2112">
        <f>85000+120000+2500*10</f>
        <v>230000</v>
      </c>
      <c r="O263" s="2112">
        <f>+M263*N263</f>
        <v>230000</v>
      </c>
      <c r="P263" s="2109"/>
      <c r="Q263" s="1766"/>
      <c r="R263" s="2110"/>
      <c r="S263" s="2111"/>
      <c r="U263" s="1727">
        <f t="shared" si="64"/>
        <v>1</v>
      </c>
      <c r="V263" s="1727">
        <f t="shared" si="64"/>
        <v>230000</v>
      </c>
      <c r="W263" s="1727">
        <f t="shared" si="64"/>
        <v>230000</v>
      </c>
      <c r="X263" s="1743">
        <f t="shared" si="64"/>
        <v>0</v>
      </c>
      <c r="Y263" s="1728">
        <f t="shared" si="64"/>
        <v>0</v>
      </c>
      <c r="Z263" s="1769">
        <f t="shared" si="64"/>
        <v>0</v>
      </c>
      <c r="AA263" s="1770">
        <f t="shared" si="64"/>
        <v>0</v>
      </c>
    </row>
    <row r="264" spans="1:27" x14ac:dyDescent="0.2">
      <c r="A264" s="185"/>
      <c r="B264" s="2113" t="s">
        <v>13</v>
      </c>
      <c r="C264" s="1779"/>
      <c r="D264" s="1779"/>
      <c r="E264" s="1779">
        <f>SUM(E261:E263)</f>
        <v>0</v>
      </c>
      <c r="F264" s="1779"/>
      <c r="G264" s="1766"/>
      <c r="H264" s="1779"/>
      <c r="I264" s="1780"/>
      <c r="K264" s="185"/>
      <c r="L264" s="2114" t="s">
        <v>13</v>
      </c>
      <c r="M264" s="1779"/>
      <c r="N264" s="1779"/>
      <c r="O264" s="1779">
        <f>SUM(O261:O263)</f>
        <v>230000</v>
      </c>
      <c r="P264" s="1779"/>
      <c r="Q264" s="1766"/>
      <c r="R264" s="1779"/>
      <c r="S264" s="1780"/>
      <c r="U264" s="2029"/>
      <c r="V264" s="2029"/>
      <c r="W264" s="2030">
        <f>SUM(W261:W263)</f>
        <v>230000</v>
      </c>
      <c r="X264" s="2030">
        <f>SUM(X261:X263)</f>
        <v>0</v>
      </c>
      <c r="Y264" s="2030">
        <f>SUM(Y261:Y263)</f>
        <v>0</v>
      </c>
      <c r="Z264" s="2030">
        <f>SUM(Z261:Z263)</f>
        <v>0</v>
      </c>
      <c r="AA264" s="2030">
        <f>SUM(AA261:AA263)</f>
        <v>0</v>
      </c>
    </row>
    <row r="265" spans="1:27" ht="13.5" thickBot="1" x14ac:dyDescent="0.25">
      <c r="K265" s="1998"/>
      <c r="L265" s="3251"/>
      <c r="M265" s="3237"/>
      <c r="N265" s="3237"/>
      <c r="O265" s="3237"/>
      <c r="P265" s="3237"/>
      <c r="Q265" s="3237"/>
      <c r="R265" s="3238"/>
      <c r="S265" s="2103"/>
      <c r="U265" s="2115"/>
      <c r="V265" s="2115"/>
      <c r="W265" s="1987"/>
      <c r="X265" s="1987"/>
      <c r="Y265" s="1987"/>
      <c r="Z265" s="1987"/>
    </row>
    <row r="266" spans="1:27" ht="13.5" thickBot="1" x14ac:dyDescent="0.25">
      <c r="K266" s="2104"/>
      <c r="L266" s="2116"/>
      <c r="M266" s="2116"/>
      <c r="N266" s="2116"/>
      <c r="O266" s="2116">
        <f>O264-'[7]פורמט משרד מקוצר'!$Q$313</f>
        <v>0</v>
      </c>
      <c r="P266" s="2116"/>
      <c r="Q266" s="2116"/>
      <c r="R266" s="2116"/>
      <c r="S266" s="2117"/>
    </row>
    <row r="267" spans="1:27" x14ac:dyDescent="0.2">
      <c r="A267" s="2081">
        <v>20</v>
      </c>
      <c r="B267" s="2082" t="s">
        <v>577</v>
      </c>
      <c r="C267" s="3226" t="s">
        <v>501</v>
      </c>
      <c r="D267" s="3227"/>
      <c r="E267" s="3228"/>
      <c r="F267" s="1937"/>
      <c r="G267" s="1938"/>
      <c r="H267" s="3217" t="s">
        <v>88</v>
      </c>
      <c r="I267" s="3218"/>
      <c r="K267" s="2081">
        <v>20</v>
      </c>
      <c r="L267" s="2082" t="s">
        <v>577</v>
      </c>
      <c r="M267" s="3207" t="s">
        <v>812</v>
      </c>
      <c r="N267" s="3208"/>
      <c r="O267" s="3209"/>
      <c r="P267" s="1937"/>
      <c r="Q267" s="1938"/>
      <c r="R267" s="3217" t="s">
        <v>88</v>
      </c>
      <c r="S267" s="3218"/>
      <c r="U267" s="3216" t="s">
        <v>506</v>
      </c>
      <c r="V267" s="3216"/>
      <c r="W267" s="3216"/>
      <c r="X267" s="1937"/>
      <c r="Y267" s="1939"/>
      <c r="Z267" s="3217" t="s">
        <v>88</v>
      </c>
      <c r="AA267" s="3218"/>
    </row>
    <row r="268" spans="1:27" ht="38.25" x14ac:dyDescent="0.2">
      <c r="A268" s="1762"/>
      <c r="B268" s="1830" t="s">
        <v>89</v>
      </c>
      <c r="C268" s="1830" t="s">
        <v>54</v>
      </c>
      <c r="D268" s="1830" t="s">
        <v>91</v>
      </c>
      <c r="E268" s="1830" t="s">
        <v>502</v>
      </c>
      <c r="F268" s="590" t="s">
        <v>106</v>
      </c>
      <c r="G268" s="1766"/>
      <c r="H268" s="1831" t="s">
        <v>54</v>
      </c>
      <c r="I268" s="1832" t="s">
        <v>502</v>
      </c>
      <c r="K268" s="1762"/>
      <c r="L268" s="1830" t="s">
        <v>89</v>
      </c>
      <c r="M268" s="1830" t="s">
        <v>54</v>
      </c>
      <c r="N268" s="1830" t="s">
        <v>91</v>
      </c>
      <c r="O268" s="1830" t="s">
        <v>502</v>
      </c>
      <c r="P268" s="590" t="s">
        <v>106</v>
      </c>
      <c r="Q268" s="1766"/>
      <c r="R268" s="1831" t="s">
        <v>54</v>
      </c>
      <c r="S268" s="1832" t="s">
        <v>502</v>
      </c>
      <c r="U268" s="590" t="s">
        <v>90</v>
      </c>
      <c r="V268" s="590" t="s">
        <v>91</v>
      </c>
      <c r="W268" s="1830" t="s">
        <v>507</v>
      </c>
      <c r="X268" s="590"/>
      <c r="Y268" s="1766"/>
      <c r="Z268" s="1831" t="s">
        <v>54</v>
      </c>
      <c r="AA268" s="1832" t="s">
        <v>507</v>
      </c>
    </row>
    <row r="269" spans="1:27" x14ac:dyDescent="0.2">
      <c r="A269" s="1762"/>
      <c r="B269" s="1830"/>
      <c r="C269" s="1830"/>
      <c r="D269" s="1830"/>
      <c r="E269" s="1830"/>
      <c r="F269" s="590"/>
      <c r="G269" s="2102"/>
      <c r="H269" s="2868"/>
      <c r="I269" s="2869"/>
      <c r="K269" s="1762"/>
      <c r="L269" s="1830"/>
      <c r="M269" s="1830"/>
      <c r="N269" s="1830"/>
      <c r="O269" s="1830"/>
      <c r="P269" s="590"/>
      <c r="Q269" s="2102"/>
      <c r="R269" s="2868"/>
      <c r="S269" s="2869"/>
      <c r="U269" s="590"/>
      <c r="V269" s="590"/>
      <c r="W269" s="1830"/>
      <c r="X269" s="590"/>
      <c r="Y269" s="1766"/>
      <c r="Z269" s="1831"/>
      <c r="AA269" s="1832"/>
    </row>
    <row r="270" spans="1:27" x14ac:dyDescent="0.2">
      <c r="A270" s="2118"/>
      <c r="B270" s="1698"/>
      <c r="C270" s="2108"/>
      <c r="D270" s="2108"/>
      <c r="E270" s="1916"/>
      <c r="F270" s="1899"/>
      <c r="G270" s="2119"/>
      <c r="H270" s="2120"/>
      <c r="I270" s="2121"/>
      <c r="K270" s="2118"/>
      <c r="L270" s="1698" t="s">
        <v>874</v>
      </c>
      <c r="M270" s="2122">
        <v>600</v>
      </c>
      <c r="N270" s="1916"/>
      <c r="O270" s="1916"/>
      <c r="P270" s="1899"/>
      <c r="Q270" s="2119"/>
      <c r="R270" s="2120"/>
      <c r="S270" s="2121"/>
      <c r="U270" s="1727"/>
      <c r="V270" s="1727"/>
      <c r="W270" s="1727"/>
      <c r="X270" s="1743"/>
      <c r="Y270" s="1728"/>
      <c r="Z270" s="1769"/>
      <c r="AA270" s="1770"/>
    </row>
    <row r="271" spans="1:27" x14ac:dyDescent="0.2">
      <c r="A271" s="2118"/>
      <c r="B271" s="1698"/>
      <c r="C271" s="2108">
        <v>0</v>
      </c>
      <c r="D271" s="2108">
        <v>0</v>
      </c>
      <c r="E271" s="1916"/>
      <c r="F271" s="1899"/>
      <c r="G271" s="2119"/>
      <c r="H271" s="2120"/>
      <c r="I271" s="2121"/>
      <c r="K271" s="2118"/>
      <c r="L271" s="1698" t="s">
        <v>578</v>
      </c>
      <c r="M271" s="2122">
        <v>7</v>
      </c>
      <c r="N271" s="1916"/>
      <c r="O271" s="1916"/>
      <c r="P271" s="1899"/>
      <c r="Q271" s="2119"/>
      <c r="R271" s="2120"/>
      <c r="S271" s="2121"/>
      <c r="U271" s="1727">
        <f t="shared" ref="U271:AA276" si="65">M271-C271</f>
        <v>7</v>
      </c>
      <c r="V271" s="1727">
        <f t="shared" si="65"/>
        <v>0</v>
      </c>
      <c r="W271" s="1727">
        <f t="shared" si="65"/>
        <v>0</v>
      </c>
      <c r="X271" s="1743">
        <f t="shared" si="65"/>
        <v>0</v>
      </c>
      <c r="Y271" s="1728">
        <f t="shared" si="65"/>
        <v>0</v>
      </c>
      <c r="Z271" s="1769">
        <f t="shared" si="65"/>
        <v>0</v>
      </c>
      <c r="AA271" s="1770">
        <f t="shared" si="65"/>
        <v>0</v>
      </c>
    </row>
    <row r="272" spans="1:27" x14ac:dyDescent="0.2">
      <c r="A272" s="2118"/>
      <c r="B272" s="1698"/>
      <c r="C272" s="2108">
        <v>0</v>
      </c>
      <c r="D272" s="2108">
        <v>0</v>
      </c>
      <c r="E272" s="1916"/>
      <c r="F272" s="1899"/>
      <c r="G272" s="2119"/>
      <c r="H272" s="2120"/>
      <c r="I272" s="2121"/>
      <c r="K272" s="2118"/>
      <c r="L272" s="1698" t="s">
        <v>579</v>
      </c>
      <c r="M272" s="2122">
        <v>3</v>
      </c>
      <c r="N272" s="1916"/>
      <c r="O272" s="1916"/>
      <c r="P272" s="1899"/>
      <c r="Q272" s="2119"/>
      <c r="R272" s="2120"/>
      <c r="S272" s="2121"/>
      <c r="U272" s="1727">
        <f t="shared" si="65"/>
        <v>3</v>
      </c>
      <c r="V272" s="1727">
        <f t="shared" si="65"/>
        <v>0</v>
      </c>
      <c r="W272" s="1727">
        <f t="shared" si="65"/>
        <v>0</v>
      </c>
      <c r="X272" s="1743">
        <f t="shared" si="65"/>
        <v>0</v>
      </c>
      <c r="Y272" s="1728">
        <f t="shared" si="65"/>
        <v>0</v>
      </c>
      <c r="Z272" s="1769">
        <f t="shared" si="65"/>
        <v>0</v>
      </c>
      <c r="AA272" s="1770">
        <f t="shared" si="65"/>
        <v>0</v>
      </c>
    </row>
    <row r="273" spans="1:27" x14ac:dyDescent="0.2">
      <c r="A273" s="2118"/>
      <c r="B273" s="1698"/>
      <c r="C273" s="2108">
        <v>0</v>
      </c>
      <c r="D273" s="2108">
        <v>0</v>
      </c>
      <c r="E273" s="1916"/>
      <c r="F273" s="1899"/>
      <c r="G273" s="2119"/>
      <c r="H273" s="2120"/>
      <c r="I273" s="2121"/>
      <c r="K273" s="2118"/>
      <c r="L273" s="1698" t="s">
        <v>580</v>
      </c>
      <c r="M273" s="2122">
        <v>2</v>
      </c>
      <c r="N273" s="1916"/>
      <c r="O273" s="1916"/>
      <c r="P273" s="1899"/>
      <c r="Q273" s="2119"/>
      <c r="R273" s="2120"/>
      <c r="S273" s="2121"/>
      <c r="U273" s="1727">
        <f t="shared" si="65"/>
        <v>2</v>
      </c>
      <c r="V273" s="1727">
        <f t="shared" si="65"/>
        <v>0</v>
      </c>
      <c r="W273" s="1727">
        <f t="shared" si="65"/>
        <v>0</v>
      </c>
      <c r="X273" s="1743">
        <f t="shared" si="65"/>
        <v>0</v>
      </c>
      <c r="Y273" s="1728">
        <f t="shared" si="65"/>
        <v>0</v>
      </c>
      <c r="Z273" s="1769">
        <f t="shared" si="65"/>
        <v>0</v>
      </c>
      <c r="AA273" s="1770">
        <f t="shared" si="65"/>
        <v>0</v>
      </c>
    </row>
    <row r="274" spans="1:27" x14ac:dyDescent="0.2">
      <c r="A274" s="1762"/>
      <c r="B274" s="1773"/>
      <c r="C274" s="2108">
        <v>0</v>
      </c>
      <c r="D274" s="2108">
        <v>0</v>
      </c>
      <c r="E274" s="1765">
        <f>+D274*C274</f>
        <v>0</v>
      </c>
      <c r="F274" s="1765"/>
      <c r="G274" s="1767"/>
      <c r="H274" s="1767"/>
      <c r="I274" s="1768"/>
      <c r="K274" s="1762"/>
      <c r="L274" s="1773" t="s">
        <v>581</v>
      </c>
      <c r="M274" s="1772">
        <f>+M271*M273</f>
        <v>14</v>
      </c>
      <c r="N274" s="1727">
        <f>1000*$J$1</f>
        <v>3800</v>
      </c>
      <c r="O274" s="1765">
        <f>+N274*M274</f>
        <v>53200</v>
      </c>
      <c r="P274" s="1765"/>
      <c r="Q274" s="1767"/>
      <c r="R274" s="1767"/>
      <c r="S274" s="1768"/>
      <c r="U274" s="1727">
        <f t="shared" si="65"/>
        <v>14</v>
      </c>
      <c r="V274" s="1727">
        <f t="shared" si="65"/>
        <v>3800</v>
      </c>
      <c r="W274" s="1727">
        <f t="shared" si="65"/>
        <v>53200</v>
      </c>
      <c r="X274" s="1743">
        <f t="shared" si="65"/>
        <v>0</v>
      </c>
      <c r="Y274" s="1728">
        <f t="shared" si="65"/>
        <v>0</v>
      </c>
      <c r="Z274" s="1769">
        <f t="shared" si="65"/>
        <v>0</v>
      </c>
      <c r="AA274" s="1770">
        <f t="shared" si="65"/>
        <v>0</v>
      </c>
    </row>
    <row r="275" spans="1:27" x14ac:dyDescent="0.2">
      <c r="A275" s="1762"/>
      <c r="B275" s="1773"/>
      <c r="C275" s="2108">
        <v>0</v>
      </c>
      <c r="D275" s="2108">
        <v>0</v>
      </c>
      <c r="E275" s="1765">
        <f>+D275*C275</f>
        <v>0</v>
      </c>
      <c r="F275" s="1765"/>
      <c r="G275" s="1767"/>
      <c r="H275" s="1767"/>
      <c r="I275" s="1768"/>
      <c r="K275" s="1762"/>
      <c r="L275" s="1773" t="s">
        <v>582</v>
      </c>
      <c r="M275" s="1772">
        <f>+M274*14</f>
        <v>196</v>
      </c>
      <c r="N275" s="1727">
        <f>+(90+150+20)*$J$1</f>
        <v>988</v>
      </c>
      <c r="O275" s="1765">
        <f>+N275*M275</f>
        <v>193648</v>
      </c>
      <c r="P275" s="1765"/>
      <c r="Q275" s="1767"/>
      <c r="R275" s="1767"/>
      <c r="S275" s="1768"/>
      <c r="U275" s="1727">
        <f t="shared" si="65"/>
        <v>196</v>
      </c>
      <c r="V275" s="1727">
        <f t="shared" si="65"/>
        <v>988</v>
      </c>
      <c r="W275" s="1727">
        <f t="shared" si="65"/>
        <v>193648</v>
      </c>
      <c r="X275" s="1743">
        <f t="shared" si="65"/>
        <v>0</v>
      </c>
      <c r="Y275" s="1728">
        <f t="shared" si="65"/>
        <v>0</v>
      </c>
      <c r="Z275" s="1769">
        <f t="shared" si="65"/>
        <v>0</v>
      </c>
      <c r="AA275" s="1770">
        <f t="shared" si="65"/>
        <v>0</v>
      </c>
    </row>
    <row r="276" spans="1:27" x14ac:dyDescent="0.2">
      <c r="A276" s="1762"/>
      <c r="B276" s="1773"/>
      <c r="C276" s="2108">
        <v>0</v>
      </c>
      <c r="D276" s="2108">
        <v>0</v>
      </c>
      <c r="E276" s="1765">
        <f>+D276*C276</f>
        <v>0</v>
      </c>
      <c r="F276" s="1765"/>
      <c r="G276" s="1767"/>
      <c r="H276" s="1767"/>
      <c r="I276" s="1768"/>
      <c r="K276" s="1762"/>
      <c r="L276" s="1773" t="s">
        <v>584</v>
      </c>
      <c r="M276" s="1772">
        <f>+M272*M273</f>
        <v>6</v>
      </c>
      <c r="N276" s="1727">
        <f>200*$J$1</f>
        <v>760</v>
      </c>
      <c r="O276" s="1765">
        <f>+N276*M276</f>
        <v>4560</v>
      </c>
      <c r="P276" s="1765"/>
      <c r="Q276" s="1767"/>
      <c r="R276" s="1767"/>
      <c r="S276" s="1768"/>
      <c r="U276" s="1727">
        <f t="shared" si="65"/>
        <v>6</v>
      </c>
      <c r="V276" s="1727">
        <f t="shared" si="65"/>
        <v>760</v>
      </c>
      <c r="W276" s="1727">
        <f t="shared" si="65"/>
        <v>4560</v>
      </c>
      <c r="X276" s="1743">
        <f t="shared" si="65"/>
        <v>0</v>
      </c>
      <c r="Y276" s="1728">
        <f t="shared" si="65"/>
        <v>0</v>
      </c>
      <c r="Z276" s="1769">
        <f t="shared" si="65"/>
        <v>0</v>
      </c>
      <c r="AA276" s="1770">
        <f t="shared" si="65"/>
        <v>0</v>
      </c>
    </row>
    <row r="277" spans="1:27" x14ac:dyDescent="0.2">
      <c r="A277" s="185"/>
      <c r="B277" s="2123" t="s">
        <v>13</v>
      </c>
      <c r="C277" s="2124"/>
      <c r="D277" s="2124"/>
      <c r="E277" s="2124">
        <f>SUM(E274:E276)</f>
        <v>0</v>
      </c>
      <c r="F277" s="2124"/>
      <c r="G277" s="2125"/>
      <c r="H277" s="1782"/>
      <c r="I277" s="2013"/>
      <c r="K277" s="185"/>
      <c r="L277" s="2123" t="s">
        <v>13</v>
      </c>
      <c r="M277" s="2124"/>
      <c r="N277" s="2124"/>
      <c r="O277" s="2124">
        <f>SUM(O274:O276)</f>
        <v>251408</v>
      </c>
      <c r="P277" s="2124"/>
      <c r="Q277" s="2125"/>
      <c r="R277" s="1782"/>
      <c r="S277" s="2013"/>
      <c r="U277" s="1781"/>
      <c r="V277" s="1781"/>
      <c r="W277" s="1782">
        <f>SUM(W271:W276)</f>
        <v>251408</v>
      </c>
      <c r="X277" s="1782">
        <f>SUM(X272:X276)</f>
        <v>0</v>
      </c>
      <c r="Y277" s="1782">
        <f>SUM(Y272:Y276)</f>
        <v>0</v>
      </c>
      <c r="Z277" s="1782">
        <f>SUM(Z272:Z276)</f>
        <v>0</v>
      </c>
      <c r="AA277" s="1782">
        <f>SUM(AA272:AA276)</f>
        <v>0</v>
      </c>
    </row>
    <row r="278" spans="1:27" ht="13.5" thickBot="1" x14ac:dyDescent="0.25">
      <c r="K278" s="200"/>
      <c r="L278" s="3248" t="s">
        <v>583</v>
      </c>
      <c r="M278" s="3249"/>
      <c r="N278" s="3249"/>
      <c r="O278" s="3249"/>
      <c r="P278" s="3249"/>
      <c r="Q278" s="3249"/>
      <c r="R278" s="3250"/>
      <c r="S278" s="2126"/>
    </row>
    <row r="279" spans="1:27" ht="13.5" thickBot="1" x14ac:dyDescent="0.25"/>
    <row r="280" spans="1:27" x14ac:dyDescent="0.2">
      <c r="A280" s="182">
        <v>20</v>
      </c>
      <c r="B280" s="1936" t="s">
        <v>60</v>
      </c>
      <c r="C280" s="3216" t="s">
        <v>104</v>
      </c>
      <c r="D280" s="3216"/>
      <c r="E280" s="3216"/>
      <c r="F280" s="1937"/>
      <c r="G280" s="1938"/>
      <c r="H280" s="3217" t="s">
        <v>88</v>
      </c>
      <c r="I280" s="3218"/>
      <c r="K280" s="182">
        <v>20</v>
      </c>
      <c r="L280" s="1936" t="s">
        <v>60</v>
      </c>
      <c r="M280" s="3207" t="s">
        <v>812</v>
      </c>
      <c r="N280" s="3208"/>
      <c r="O280" s="3209"/>
      <c r="P280" s="1937"/>
      <c r="Q280" s="1938"/>
      <c r="R280" s="3217" t="s">
        <v>88</v>
      </c>
      <c r="S280" s="3218"/>
      <c r="U280" s="3216" t="s">
        <v>506</v>
      </c>
      <c r="V280" s="3216"/>
      <c r="W280" s="3216"/>
      <c r="X280" s="1937"/>
      <c r="Y280" s="1939"/>
      <c r="Z280" s="3217" t="s">
        <v>88</v>
      </c>
      <c r="AA280" s="3218"/>
    </row>
    <row r="281" spans="1:27" ht="38.25" x14ac:dyDescent="0.2">
      <c r="A281" s="185"/>
      <c r="B281" s="590" t="s">
        <v>89</v>
      </c>
      <c r="C281" s="1831" t="s">
        <v>54</v>
      </c>
      <c r="D281" s="590" t="s">
        <v>91</v>
      </c>
      <c r="E281" s="590" t="s">
        <v>92</v>
      </c>
      <c r="F281" s="590"/>
      <c r="G281" s="1723"/>
      <c r="H281" s="1831" t="s">
        <v>54</v>
      </c>
      <c r="I281" s="1909" t="s">
        <v>92</v>
      </c>
      <c r="K281" s="185"/>
      <c r="L281" s="590" t="s">
        <v>89</v>
      </c>
      <c r="M281" s="1831" t="s">
        <v>54</v>
      </c>
      <c r="N281" s="590" t="s">
        <v>91</v>
      </c>
      <c r="O281" s="590" t="s">
        <v>92</v>
      </c>
      <c r="P281" s="590"/>
      <c r="Q281" s="1723"/>
      <c r="R281" s="1831" t="s">
        <v>54</v>
      </c>
      <c r="S281" s="1909" t="s">
        <v>92</v>
      </c>
      <c r="U281" s="590" t="s">
        <v>90</v>
      </c>
      <c r="V281" s="590" t="s">
        <v>91</v>
      </c>
      <c r="W281" s="1830" t="s">
        <v>507</v>
      </c>
      <c r="X281" s="590"/>
      <c r="Y281" s="1766"/>
      <c r="Z281" s="1831" t="s">
        <v>54</v>
      </c>
      <c r="AA281" s="1832" t="s">
        <v>507</v>
      </c>
    </row>
    <row r="282" spans="1:27" ht="25.5" x14ac:dyDescent="0.2">
      <c r="A282" s="185"/>
      <c r="B282" s="1771" t="s">
        <v>225</v>
      </c>
      <c r="C282" s="2127"/>
      <c r="D282" s="1724"/>
      <c r="E282" s="2128"/>
      <c r="F282" s="2129"/>
      <c r="G282" s="1723"/>
      <c r="H282" s="1724"/>
      <c r="I282" s="2130">
        <v>200000</v>
      </c>
      <c r="K282" s="185"/>
      <c r="L282" s="1771" t="s">
        <v>225</v>
      </c>
      <c r="M282" s="2127"/>
      <c r="N282" s="1724"/>
      <c r="O282" s="2128"/>
      <c r="P282" s="2129"/>
      <c r="Q282" s="1723"/>
      <c r="R282" s="1724"/>
      <c r="S282" s="2130">
        <v>200000</v>
      </c>
      <c r="U282" s="1727">
        <f t="shared" ref="U282:AA282" si="66">M282-C282</f>
        <v>0</v>
      </c>
      <c r="V282" s="1727">
        <f t="shared" si="66"/>
        <v>0</v>
      </c>
      <c r="W282" s="1727">
        <f t="shared" si="66"/>
        <v>0</v>
      </c>
      <c r="X282" s="1743">
        <f t="shared" si="66"/>
        <v>0</v>
      </c>
      <c r="Y282" s="1728">
        <f t="shared" si="66"/>
        <v>0</v>
      </c>
      <c r="Z282" s="1769">
        <f t="shared" si="66"/>
        <v>0</v>
      </c>
      <c r="AA282" s="1770">
        <f t="shared" si="66"/>
        <v>0</v>
      </c>
    </row>
    <row r="283" spans="1:27" ht="13.5" thickBot="1" x14ac:dyDescent="0.25">
      <c r="A283" s="200"/>
      <c r="B283" s="2025" t="s">
        <v>13</v>
      </c>
      <c r="C283" s="2026"/>
      <c r="D283" s="2026"/>
      <c r="E283" s="1864">
        <f>SUM(E282)</f>
        <v>0</v>
      </c>
      <c r="F283" s="1864"/>
      <c r="G283" s="2027"/>
      <c r="H283" s="1760"/>
      <c r="I283" s="1761">
        <f>SUM(I282)</f>
        <v>200000</v>
      </c>
      <c r="K283" s="200"/>
      <c r="L283" s="2025" t="s">
        <v>13</v>
      </c>
      <c r="M283" s="2026"/>
      <c r="N283" s="2026"/>
      <c r="O283" s="1864">
        <f>SUM(O282)</f>
        <v>0</v>
      </c>
      <c r="P283" s="1864"/>
      <c r="Q283" s="2027"/>
      <c r="R283" s="1760"/>
      <c r="S283" s="1761">
        <f>SUM(S282)</f>
        <v>200000</v>
      </c>
      <c r="U283" s="2026"/>
      <c r="V283" s="2026"/>
      <c r="W283" s="1864">
        <f>SUM(W282)</f>
        <v>0</v>
      </c>
      <c r="X283" s="1864"/>
      <c r="Y283" s="2027"/>
      <c r="Z283" s="1760"/>
      <c r="AA283" s="1761">
        <f>SUM(AA282)</f>
        <v>0</v>
      </c>
    </row>
    <row r="284" spans="1:27" ht="13.5" thickBot="1" x14ac:dyDescent="0.25"/>
    <row r="285" spans="1:27" ht="13.5" thickBot="1" x14ac:dyDescent="0.25">
      <c r="A285" s="2131"/>
      <c r="B285" s="2132" t="s">
        <v>226</v>
      </c>
      <c r="C285" s="2133"/>
      <c r="D285" s="2134"/>
      <c r="E285" s="2134">
        <f>E22+E37++E54+E78+E91+E104+E121+E138+E155+E163+E173+E183+E190+E200+E211+E223+E235+E247+E254++E283+E264+E277</f>
        <v>9111331.9333333336</v>
      </c>
      <c r="F285" s="2134">
        <f>F22+F37++F54+F78+F91+F104+F121+F138+F155+F163+F173+F183+F190+F200+F211+F223+F235+F247+F254++F283+F264+F277</f>
        <v>483431.39999999997</v>
      </c>
      <c r="G285" s="2134">
        <f>G22+G37++G54+G78+G91+G104+G121+G138+G155+G163+G173+G183+G190+G200+G211+G223+G235+G247+G254++G283+G264+G277</f>
        <v>0</v>
      </c>
      <c r="H285" s="2134">
        <f>H22+H37++H54+H78+H91+H104+H121+H138+H155+H163+H173+H183+H190+H200+H211+H223+H235+H247+H254++H283+H264+H277</f>
        <v>0</v>
      </c>
      <c r="I285" s="2134">
        <f>I22+I37++I54+I78+I91+I104+I121+I138+I155+I163+I173+I183+I190+I200+I211+I223+I235+I247+I254++I283+I264+I277</f>
        <v>2969280</v>
      </c>
      <c r="K285" s="2131"/>
      <c r="L285" s="2132" t="s">
        <v>226</v>
      </c>
      <c r="M285" s="2133"/>
      <c r="N285" s="2134"/>
      <c r="O285" s="2134">
        <f>O22+O37++O54+O78+O91+O104+O121+O138+O155+O163+O173+O183+O190+O200+O211+O223+O235+O247+O254++O283+O264+O277</f>
        <v>14311250.129999999</v>
      </c>
      <c r="P285" s="2134">
        <f>P22+P37++P54+P78+P91+P104+P121+P138+P155+P163+P173+P183+P190+P200+P211+P223+P235+P247+P254++P283+P264+P277</f>
        <v>752168.55</v>
      </c>
      <c r="Q285" s="2134">
        <f>Q22+Q37++Q54+Q78+Q91+Q104+Q121+Q138+Q155+Q163+Q173+Q183+Q190+Q200+Q211+Q223+Q235+Q247+Q254++Q283+Q264+Q277</f>
        <v>0</v>
      </c>
      <c r="R285" s="2134">
        <f>R22+R37++R54+R78+R91+R104+R121+R138+R155+R163+R173+R183+R190+R200+R211+R223+R235+R247+R254++R283+R264+R277</f>
        <v>0</v>
      </c>
      <c r="S285" s="2134">
        <f>S22+S37++S54+S78+S91+S104+S121+S138+S155+S163+S173+S183+S190+S200+S211+S223+S235+S247+S254++S283+S264+S277</f>
        <v>4718448</v>
      </c>
      <c r="U285" s="2133"/>
      <c r="V285" s="2134"/>
      <c r="W285" s="2134">
        <f>W22+W37++W54+W78+W91+W104+W121+W138+W155+W163+W173+W183+W190+W200+W211+W223+W235+W247+W254++W283+W264+W277</f>
        <v>4727768.1966666663</v>
      </c>
      <c r="X285" s="2134">
        <f>X22+X37++X54+X78+X91+X104+X121+X138+X155+X163+X173+X183+X190+X200+X211+X223+X235+X247+X254++X283+X264+X277</f>
        <v>268737.15000000002</v>
      </c>
      <c r="Y285" s="2134">
        <f>Y22+Y37++Y54+Y78+Y91+Y104+Y121+Y138+Y155+Y163+Y173+Y183+Y190+Y200+Y211+Y223+Y235+Y247+Y254++Y283+Y264+Y277</f>
        <v>0</v>
      </c>
      <c r="Z285" s="2134">
        <f>Z22+Z37++Z54+Z78+Z91+Z104+Z121+Z138+Z155+Z163+Z173+Z183+Z190+Z200+Z211+Z223+Z235+Z247+Z254++Z283+Z264+Z277</f>
        <v>0</v>
      </c>
      <c r="AA285" s="2134">
        <f>AA22+AA37++AA54+AA78+AA91+AA104+AA121+AA138+AA155+AA163+AA173+AA183+AA190+AA200+AA211+AA223+AA235+AA247+AA254++AA283+AA264+AA277</f>
        <v>2887084.6666666665</v>
      </c>
    </row>
    <row r="286" spans="1:27" x14ac:dyDescent="0.2">
      <c r="E286" s="1777">
        <f>-E285+[2]צרפת!$E$314</f>
        <v>0</v>
      </c>
      <c r="O286" s="1777">
        <f>-O285+[5]צרפת!O306</f>
        <v>0</v>
      </c>
      <c r="P286" s="1777">
        <f>-P285+[5]צרפת!P306</f>
        <v>0</v>
      </c>
      <c r="Q286" s="1777">
        <f>-Q285+[5]צרפת!Q306</f>
        <v>0</v>
      </c>
      <c r="R286" s="1777">
        <f>-R285+[5]צרפת!R306</f>
        <v>0</v>
      </c>
      <c r="S286" s="1777">
        <f>-S285+[5]צרפת!S306</f>
        <v>0</v>
      </c>
      <c r="W286" s="1777">
        <f>-W285+[2]צרפת!$W$314</f>
        <v>-348047.77999999933</v>
      </c>
      <c r="X286" s="1777">
        <f>-X285+[2]צרפת!$X$314</f>
        <v>1819.5</v>
      </c>
      <c r="Y286" s="1777">
        <f>-Y285+[2]צרפת!$O$314</f>
        <v>14195762.35</v>
      </c>
      <c r="Z286" s="1777"/>
      <c r="AA286" s="1777">
        <f>-AA285+[2]צרפת!$AA$314</f>
        <v>-813770.66666666651</v>
      </c>
    </row>
    <row r="287" spans="1:27" x14ac:dyDescent="0.2">
      <c r="E287" s="1777"/>
      <c r="O287" s="1777"/>
      <c r="P287" s="1777"/>
    </row>
    <row r="288" spans="1:27" x14ac:dyDescent="0.2">
      <c r="P288" s="1930"/>
    </row>
    <row r="290" spans="15:16" x14ac:dyDescent="0.2">
      <c r="O290" s="1930"/>
      <c r="P290" s="1902"/>
    </row>
    <row r="291" spans="15:16" x14ac:dyDescent="0.2">
      <c r="O291" s="1902"/>
    </row>
    <row r="292" spans="15:16" x14ac:dyDescent="0.2">
      <c r="O292" s="1730"/>
    </row>
    <row r="293" spans="15:16" x14ac:dyDescent="0.2">
      <c r="O293" s="1930"/>
    </row>
  </sheetData>
  <mergeCells count="153">
    <mergeCell ref="M280:O280"/>
    <mergeCell ref="R280:S280"/>
    <mergeCell ref="U280:W280"/>
    <mergeCell ref="Z280:AA280"/>
    <mergeCell ref="Z250:AA250"/>
    <mergeCell ref="U259:W259"/>
    <mergeCell ref="Z259:AA259"/>
    <mergeCell ref="U267:W267"/>
    <mergeCell ref="Z267:AA267"/>
    <mergeCell ref="L278:R278"/>
    <mergeCell ref="L255:R255"/>
    <mergeCell ref="M259:O259"/>
    <mergeCell ref="R259:S259"/>
    <mergeCell ref="L265:R265"/>
    <mergeCell ref="M267:O267"/>
    <mergeCell ref="R267:S267"/>
    <mergeCell ref="M250:O250"/>
    <mergeCell ref="R250:S250"/>
    <mergeCell ref="R27:S27"/>
    <mergeCell ref="U27:W27"/>
    <mergeCell ref="R57:S57"/>
    <mergeCell ref="U108:W108"/>
    <mergeCell ref="L93:R93"/>
    <mergeCell ref="U83:W83"/>
    <mergeCell ref="L201:R201"/>
    <mergeCell ref="U192:W192"/>
    <mergeCell ref="M43:O43"/>
    <mergeCell ref="R43:S43"/>
    <mergeCell ref="L55:R55"/>
    <mergeCell ref="U43:W43"/>
    <mergeCell ref="R141:S141"/>
    <mergeCell ref="U141:W141"/>
    <mergeCell ref="L174:R174"/>
    <mergeCell ref="L175:R175"/>
    <mergeCell ref="U95:W95"/>
    <mergeCell ref="U167:W167"/>
    <mergeCell ref="M125:O125"/>
    <mergeCell ref="M141:O141"/>
    <mergeCell ref="M158:O158"/>
    <mergeCell ref="U57:W57"/>
    <mergeCell ref="Z57:AA57"/>
    <mergeCell ref="Z141:AA141"/>
    <mergeCell ref="Z239:AA239"/>
    <mergeCell ref="L236:R236"/>
    <mergeCell ref="L237:R237"/>
    <mergeCell ref="U226:W226"/>
    <mergeCell ref="Z226:AA226"/>
    <mergeCell ref="L224:R224"/>
    <mergeCell ref="U217:W217"/>
    <mergeCell ref="Z217:AA217"/>
    <mergeCell ref="M226:O226"/>
    <mergeCell ref="R226:S226"/>
    <mergeCell ref="M217:O217"/>
    <mergeCell ref="R217:S217"/>
    <mergeCell ref="Z192:AA192"/>
    <mergeCell ref="M204:O204"/>
    <mergeCell ref="R204:S204"/>
    <mergeCell ref="M192:O192"/>
    <mergeCell ref="R192:S192"/>
    <mergeCell ref="L212:R212"/>
    <mergeCell ref="U204:W204"/>
    <mergeCell ref="Z204:AA204"/>
    <mergeCell ref="U239:W239"/>
    <mergeCell ref="M239:O239"/>
    <mergeCell ref="R239:S239"/>
    <mergeCell ref="U250:W250"/>
    <mergeCell ref="U158:W158"/>
    <mergeCell ref="Z158:AA158"/>
    <mergeCell ref="R158:S158"/>
    <mergeCell ref="M186:O186"/>
    <mergeCell ref="R186:S186"/>
    <mergeCell ref="U186:W186"/>
    <mergeCell ref="Z186:AA186"/>
    <mergeCell ref="Z167:AA167"/>
    <mergeCell ref="M177:O177"/>
    <mergeCell ref="R177:S177"/>
    <mergeCell ref="L184:R184"/>
    <mergeCell ref="U177:W177"/>
    <mergeCell ref="Z177:AA177"/>
    <mergeCell ref="M167:O167"/>
    <mergeCell ref="R167:S167"/>
    <mergeCell ref="L248:R248"/>
    <mergeCell ref="Z43:AA43"/>
    <mergeCell ref="M2:O2"/>
    <mergeCell ref="R2:S2"/>
    <mergeCell ref="U2:W2"/>
    <mergeCell ref="Z2:AA2"/>
    <mergeCell ref="S111:S119"/>
    <mergeCell ref="R125:S125"/>
    <mergeCell ref="U125:W125"/>
    <mergeCell ref="Z125:AA125"/>
    <mergeCell ref="Z108:AA108"/>
    <mergeCell ref="R108:S108"/>
    <mergeCell ref="M57:O57"/>
    <mergeCell ref="M108:O108"/>
    <mergeCell ref="Z95:AA95"/>
    <mergeCell ref="M83:O83"/>
    <mergeCell ref="R83:S83"/>
    <mergeCell ref="L92:R92"/>
    <mergeCell ref="Z27:AA27"/>
    <mergeCell ref="R95:S95"/>
    <mergeCell ref="L105:R105"/>
    <mergeCell ref="L106:R106"/>
    <mergeCell ref="M27:O27"/>
    <mergeCell ref="Z83:AA83"/>
    <mergeCell ref="M95:O95"/>
    <mergeCell ref="C250:E250"/>
    <mergeCell ref="H250:I250"/>
    <mergeCell ref="C280:E280"/>
    <mergeCell ref="H280:I280"/>
    <mergeCell ref="B212:I212"/>
    <mergeCell ref="C217:E217"/>
    <mergeCell ref="H217:I217"/>
    <mergeCell ref="C226:E226"/>
    <mergeCell ref="H226:I226"/>
    <mergeCell ref="C239:E239"/>
    <mergeCell ref="H239:I239"/>
    <mergeCell ref="C259:E259"/>
    <mergeCell ref="H259:I259"/>
    <mergeCell ref="C267:E267"/>
    <mergeCell ref="H267:I267"/>
    <mergeCell ref="C186:E186"/>
    <mergeCell ref="H186:I186"/>
    <mergeCell ref="C192:E192"/>
    <mergeCell ref="H192:I192"/>
    <mergeCell ref="C204:E204"/>
    <mergeCell ref="H204:I204"/>
    <mergeCell ref="C158:E158"/>
    <mergeCell ref="H158:I158"/>
    <mergeCell ref="C167:E167"/>
    <mergeCell ref="H177:I177"/>
    <mergeCell ref="H167:I167"/>
    <mergeCell ref="C177:E177"/>
    <mergeCell ref="B55:F55"/>
    <mergeCell ref="C2:E2"/>
    <mergeCell ref="H2:I2"/>
    <mergeCell ref="C43:E43"/>
    <mergeCell ref="H43:I43"/>
    <mergeCell ref="C141:E141"/>
    <mergeCell ref="H141:I141"/>
    <mergeCell ref="C57:E57"/>
    <mergeCell ref="H57:I57"/>
    <mergeCell ref="C83:E83"/>
    <mergeCell ref="H83:I83"/>
    <mergeCell ref="C95:E95"/>
    <mergeCell ref="H95:I95"/>
    <mergeCell ref="C108:E108"/>
    <mergeCell ref="H108:I108"/>
    <mergeCell ref="I111:I119"/>
    <mergeCell ref="C125:E125"/>
    <mergeCell ref="H125:I125"/>
    <mergeCell ref="C27:E27"/>
    <mergeCell ref="H27:I27"/>
  </mergeCells>
  <pageMargins left="0.70866141732283505" right="0.70866141732283505" top="0.74803149606299202" bottom="0.74803149606299202" header="0.31496062992126" footer="0.31496062992126"/>
  <pageSetup paperSize="9" scale="80" fitToHeight="0" orientation="portrait" r:id="rId1"/>
  <headerFooter>
    <oddHeader>&amp;L&amp;D&amp;C&amp;A&amp;R&amp;F</oddHeader>
    <oddFooter>&amp;L&amp;P</oddFooter>
  </headerFooter>
  <rowBreaks count="7" manualBreakCount="7">
    <brk id="42" min="10" max="18" man="1"/>
    <brk id="82" min="10" max="18" man="1"/>
    <brk id="124" min="10" max="18" man="1"/>
    <brk id="140" min="10" max="18" man="1"/>
    <brk id="166" min="10" max="18" man="1"/>
    <brk id="216" min="10" max="18" man="1"/>
    <brk id="266" min="10" max="18"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139"/>
  <sheetViews>
    <sheetView rightToLeft="1" topLeftCell="K102" zoomScaleNormal="100" zoomScaleSheetLayoutView="100" workbookViewId="0">
      <selection activeCell="L78" sqref="L78"/>
    </sheetView>
  </sheetViews>
  <sheetFormatPr defaultRowHeight="12.75" x14ac:dyDescent="0.2"/>
  <cols>
    <col min="1" max="1" width="2.375" style="303" hidden="1" customWidth="1"/>
    <col min="2" max="2" width="30.375" style="303" hidden="1" customWidth="1"/>
    <col min="3" max="3" width="8" style="1731" hidden="1" customWidth="1"/>
    <col min="4" max="4" width="10.375" style="1731" hidden="1" customWidth="1"/>
    <col min="5" max="6" width="11.375" style="1731" hidden="1" customWidth="1"/>
    <col min="7" max="7" width="1.75" style="1731" hidden="1" customWidth="1"/>
    <col min="8" max="10" width="9" style="1731" hidden="1" customWidth="1"/>
    <col min="11" max="11" width="2.5" style="1731" customWidth="1"/>
    <col min="12" max="12" width="31.25" style="1731" customWidth="1"/>
    <col min="13" max="13" width="9" style="1731"/>
    <col min="14" max="14" width="10" style="1730" customWidth="1"/>
    <col min="15" max="15" width="12.75" style="1731" customWidth="1"/>
    <col min="16" max="16" width="9" style="1731" customWidth="1"/>
    <col min="17" max="17" width="1.625" style="1731" customWidth="1"/>
    <col min="18" max="18" width="9" style="1731"/>
    <col min="19" max="19" width="9.875" style="1731" bestFit="1" customWidth="1"/>
    <col min="20" max="20" width="0" style="1731" hidden="1" customWidth="1"/>
    <col min="21" max="22" width="9" style="1731" hidden="1" customWidth="1"/>
    <col min="23" max="23" width="10.625" style="1731" hidden="1" customWidth="1"/>
    <col min="24" max="24" width="9" style="1731" hidden="1" customWidth="1"/>
    <col min="25" max="25" width="1.875" style="1731" hidden="1" customWidth="1"/>
    <col min="26" max="27" width="9" style="1731" hidden="1" customWidth="1"/>
    <col min="28" max="16384" width="9" style="1731"/>
  </cols>
  <sheetData>
    <row r="1" spans="1:27" ht="13.5" thickBot="1" x14ac:dyDescent="0.25">
      <c r="J1" s="1731">
        <v>3.8</v>
      </c>
    </row>
    <row r="2" spans="1:27" ht="15" customHeight="1" x14ac:dyDescent="0.2">
      <c r="A2" s="210"/>
      <c r="B2" s="2000" t="s">
        <v>56</v>
      </c>
      <c r="C2" s="3252" t="s">
        <v>642</v>
      </c>
      <c r="D2" s="3252"/>
      <c r="E2" s="3252"/>
      <c r="F2" s="2530"/>
      <c r="G2" s="1939"/>
      <c r="H2" s="3217" t="s">
        <v>88</v>
      </c>
      <c r="I2" s="3218"/>
      <c r="K2" s="210"/>
      <c r="L2" s="2000" t="s">
        <v>56</v>
      </c>
      <c r="M2" s="3216" t="s">
        <v>812</v>
      </c>
      <c r="N2" s="3216"/>
      <c r="O2" s="3216"/>
      <c r="P2" s="2530"/>
      <c r="Q2" s="1939"/>
      <c r="R2" s="3217" t="s">
        <v>88</v>
      </c>
      <c r="S2" s="3218"/>
      <c r="U2" s="3216" t="s">
        <v>506</v>
      </c>
      <c r="V2" s="3216"/>
      <c r="W2" s="3216"/>
      <c r="X2" s="1937"/>
      <c r="Y2" s="1939"/>
      <c r="Z2" s="3217" t="s">
        <v>88</v>
      </c>
      <c r="AA2" s="3218"/>
    </row>
    <row r="3" spans="1:27" ht="15" customHeight="1" x14ac:dyDescent="0.2">
      <c r="A3" s="212"/>
      <c r="B3" s="590" t="s">
        <v>89</v>
      </c>
      <c r="C3" s="590" t="s">
        <v>54</v>
      </c>
      <c r="D3" s="590" t="s">
        <v>91</v>
      </c>
      <c r="E3" s="590" t="s">
        <v>105</v>
      </c>
      <c r="F3" s="590" t="s">
        <v>106</v>
      </c>
      <c r="G3" s="1766"/>
      <c r="H3" s="1831" t="s">
        <v>54</v>
      </c>
      <c r="I3" s="1832" t="s">
        <v>502</v>
      </c>
      <c r="K3" s="212"/>
      <c r="L3" s="590" t="s">
        <v>89</v>
      </c>
      <c r="M3" s="590" t="s">
        <v>54</v>
      </c>
      <c r="N3" s="2576" t="s">
        <v>91</v>
      </c>
      <c r="O3" s="590" t="s">
        <v>105</v>
      </c>
      <c r="P3" s="590" t="s">
        <v>106</v>
      </c>
      <c r="Q3" s="1766"/>
      <c r="R3" s="1831" t="s">
        <v>54</v>
      </c>
      <c r="S3" s="1832" t="s">
        <v>502</v>
      </c>
      <c r="U3" s="590" t="s">
        <v>90</v>
      </c>
      <c r="V3" s="590" t="s">
        <v>91</v>
      </c>
      <c r="W3" s="1830" t="s">
        <v>507</v>
      </c>
      <c r="X3" s="590"/>
      <c r="Y3" s="1766"/>
      <c r="Z3" s="1831" t="s">
        <v>54</v>
      </c>
      <c r="AA3" s="1832" t="s">
        <v>507</v>
      </c>
    </row>
    <row r="4" spans="1:27" x14ac:dyDescent="0.2">
      <c r="A4" s="185"/>
      <c r="B4" s="2005" t="s">
        <v>111</v>
      </c>
      <c r="C4" s="2003"/>
      <c r="D4" s="2004"/>
      <c r="E4" s="1740"/>
      <c r="F4" s="1740"/>
      <c r="G4" s="1766"/>
      <c r="H4" s="1942"/>
      <c r="I4" s="1956"/>
      <c r="K4" s="185"/>
      <c r="L4" s="2005" t="s">
        <v>111</v>
      </c>
      <c r="M4" s="2003">
        <v>25</v>
      </c>
      <c r="N4" s="2577">
        <f>SUM(O5:O9)/M4</f>
        <v>15223.5</v>
      </c>
      <c r="O4" s="1740"/>
      <c r="P4" s="1740"/>
      <c r="Q4" s="1766"/>
      <c r="R4" s="1942"/>
      <c r="S4" s="1956"/>
      <c r="U4" s="1727">
        <f t="shared" ref="U4:X21" si="0">M4-C4</f>
        <v>25</v>
      </c>
      <c r="V4" s="1727">
        <f t="shared" si="0"/>
        <v>15223.5</v>
      </c>
      <c r="W4" s="1727">
        <f t="shared" si="0"/>
        <v>0</v>
      </c>
      <c r="X4" s="1727">
        <f t="shared" si="0"/>
        <v>0</v>
      </c>
      <c r="Y4" s="1728">
        <f t="shared" ref="Y4:Y21" si="1">Q4-D4</f>
        <v>0</v>
      </c>
      <c r="Z4" s="1727">
        <f t="shared" ref="Z4:AA21" si="2">R4-H4</f>
        <v>0</v>
      </c>
      <c r="AA4" s="1727">
        <f t="shared" si="2"/>
        <v>0</v>
      </c>
    </row>
    <row r="5" spans="1:27" ht="25.5" x14ac:dyDescent="0.2">
      <c r="A5" s="185"/>
      <c r="B5" s="1763" t="s">
        <v>112</v>
      </c>
      <c r="C5" s="2008"/>
      <c r="D5" s="2531"/>
      <c r="E5" s="2008"/>
      <c r="F5" s="1740"/>
      <c r="G5" s="1766"/>
      <c r="H5" s="1942"/>
      <c r="I5" s="1956"/>
      <c r="K5" s="185"/>
      <c r="L5" s="1763" t="s">
        <v>908</v>
      </c>
      <c r="M5" s="2008">
        <f>M4</f>
        <v>25</v>
      </c>
      <c r="N5" s="2514">
        <f>290*J1</f>
        <v>1102</v>
      </c>
      <c r="O5" s="2008">
        <f t="shared" ref="O5:O7" si="3">M5*N5</f>
        <v>27550</v>
      </c>
      <c r="P5" s="1740"/>
      <c r="Q5" s="1766"/>
      <c r="R5" s="1942"/>
      <c r="S5" s="1956"/>
      <c r="U5" s="1727">
        <f t="shared" si="0"/>
        <v>25</v>
      </c>
      <c r="V5" s="1727">
        <f t="shared" si="0"/>
        <v>1102</v>
      </c>
      <c r="W5" s="1727">
        <f t="shared" si="0"/>
        <v>27550</v>
      </c>
      <c r="X5" s="1727">
        <f t="shared" si="0"/>
        <v>0</v>
      </c>
      <c r="Y5" s="1728">
        <f t="shared" si="1"/>
        <v>0</v>
      </c>
      <c r="Z5" s="1727">
        <f t="shared" si="2"/>
        <v>0</v>
      </c>
      <c r="AA5" s="1727">
        <f t="shared" si="2"/>
        <v>0</v>
      </c>
    </row>
    <row r="6" spans="1:27" x14ac:dyDescent="0.2">
      <c r="A6" s="185"/>
      <c r="B6" s="1763"/>
      <c r="C6" s="2532"/>
      <c r="D6" s="2531"/>
      <c r="E6" s="2008"/>
      <c r="F6" s="333"/>
      <c r="G6" s="1766"/>
      <c r="H6" s="1942"/>
      <c r="I6" s="1956"/>
      <c r="K6" s="185"/>
      <c r="L6" s="1763" t="s">
        <v>685</v>
      </c>
      <c r="M6" s="2532">
        <f>M4</f>
        <v>25</v>
      </c>
      <c r="N6" s="2514"/>
      <c r="O6" s="2008">
        <v>40000</v>
      </c>
      <c r="P6" s="333"/>
      <c r="Q6" s="1766"/>
      <c r="R6" s="1942"/>
      <c r="S6" s="1956"/>
      <c r="U6" s="1727">
        <f t="shared" si="0"/>
        <v>25</v>
      </c>
      <c r="V6" s="1727">
        <f t="shared" si="0"/>
        <v>0</v>
      </c>
      <c r="W6" s="1727">
        <f t="shared" si="0"/>
        <v>40000</v>
      </c>
      <c r="X6" s="1727">
        <f t="shared" si="0"/>
        <v>0</v>
      </c>
      <c r="Y6" s="1728">
        <f t="shared" si="1"/>
        <v>0</v>
      </c>
      <c r="Z6" s="1727">
        <f t="shared" si="2"/>
        <v>0</v>
      </c>
      <c r="AA6" s="1727">
        <f t="shared" si="2"/>
        <v>0</v>
      </c>
    </row>
    <row r="7" spans="1:27" x14ac:dyDescent="0.2">
      <c r="A7" s="185"/>
      <c r="B7" s="1763"/>
      <c r="C7" s="2532"/>
      <c r="D7" s="2531"/>
      <c r="E7" s="2008"/>
      <c r="F7" s="333"/>
      <c r="G7" s="1766"/>
      <c r="H7" s="1942"/>
      <c r="I7" s="1956"/>
      <c r="K7" s="185"/>
      <c r="L7" s="1763" t="s">
        <v>694</v>
      </c>
      <c r="M7" s="2532">
        <f>M4</f>
        <v>25</v>
      </c>
      <c r="N7" s="2514">
        <v>1660</v>
      </c>
      <c r="O7" s="2008">
        <f t="shared" si="3"/>
        <v>41500</v>
      </c>
      <c r="P7" s="333"/>
      <c r="Q7" s="1766"/>
      <c r="R7" s="1942"/>
      <c r="S7" s="1956"/>
      <c r="U7" s="1727">
        <f t="shared" si="0"/>
        <v>25</v>
      </c>
      <c r="V7" s="1727">
        <f t="shared" si="0"/>
        <v>1660</v>
      </c>
      <c r="W7" s="1727">
        <f t="shared" si="0"/>
        <v>41500</v>
      </c>
      <c r="X7" s="1727">
        <f t="shared" si="0"/>
        <v>0</v>
      </c>
      <c r="Y7" s="1728">
        <f t="shared" si="1"/>
        <v>0</v>
      </c>
      <c r="Z7" s="1727">
        <f t="shared" si="2"/>
        <v>0</v>
      </c>
      <c r="AA7" s="1727">
        <f t="shared" si="2"/>
        <v>0</v>
      </c>
    </row>
    <row r="8" spans="1:27" x14ac:dyDescent="0.2">
      <c r="A8" s="185"/>
      <c r="B8" s="1763" t="s">
        <v>113</v>
      </c>
      <c r="C8" s="2008"/>
      <c r="D8" s="2531"/>
      <c r="E8" s="2008"/>
      <c r="F8" s="333"/>
      <c r="G8" s="1766"/>
      <c r="H8" s="1942"/>
      <c r="I8" s="1956"/>
      <c r="K8" s="185"/>
      <c r="L8" s="1763" t="s">
        <v>112</v>
      </c>
      <c r="M8" s="2008">
        <f>M4</f>
        <v>25</v>
      </c>
      <c r="N8" s="2514">
        <f>D30</f>
        <v>21723</v>
      </c>
      <c r="O8" s="2008">
        <f>M8*N8</f>
        <v>543075</v>
      </c>
      <c r="P8" s="333"/>
      <c r="Q8" s="1766"/>
      <c r="R8" s="1942"/>
      <c r="S8" s="1956"/>
      <c r="U8" s="1727">
        <f t="shared" si="0"/>
        <v>25</v>
      </c>
      <c r="V8" s="1727">
        <f t="shared" si="0"/>
        <v>21723</v>
      </c>
      <c r="W8" s="1727">
        <f t="shared" si="0"/>
        <v>543075</v>
      </c>
      <c r="X8" s="1727">
        <f t="shared" si="0"/>
        <v>0</v>
      </c>
      <c r="Y8" s="1728">
        <f t="shared" si="1"/>
        <v>0</v>
      </c>
      <c r="Z8" s="1727">
        <f t="shared" si="2"/>
        <v>0</v>
      </c>
      <c r="AA8" s="1727">
        <f t="shared" si="2"/>
        <v>0</v>
      </c>
    </row>
    <row r="9" spans="1:27" ht="25.5" x14ac:dyDescent="0.2">
      <c r="A9" s="185"/>
      <c r="B9" s="1884" t="s">
        <v>114</v>
      </c>
      <c r="C9" s="2532"/>
      <c r="D9" s="2008"/>
      <c r="E9" s="2008"/>
      <c r="F9" s="333"/>
      <c r="G9" s="1766"/>
      <c r="H9" s="1942"/>
      <c r="I9" s="1956"/>
      <c r="K9" s="185"/>
      <c r="L9" s="1884" t="s">
        <v>684</v>
      </c>
      <c r="M9" s="2532">
        <f>M4</f>
        <v>25</v>
      </c>
      <c r="N9" s="2578">
        <f>-N8/2</f>
        <v>-10861.5</v>
      </c>
      <c r="O9" s="2008">
        <f>M9*N9</f>
        <v>-271537.5</v>
      </c>
      <c r="P9" s="333"/>
      <c r="Q9" s="1766"/>
      <c r="R9" s="1942"/>
      <c r="S9" s="1956"/>
      <c r="U9" s="1727">
        <f t="shared" si="0"/>
        <v>25</v>
      </c>
      <c r="V9" s="1727">
        <f t="shared" si="0"/>
        <v>-10861.5</v>
      </c>
      <c r="W9" s="1727">
        <f t="shared" si="0"/>
        <v>-271537.5</v>
      </c>
      <c r="X9" s="1727">
        <f t="shared" si="0"/>
        <v>0</v>
      </c>
      <c r="Y9" s="1728">
        <f t="shared" si="1"/>
        <v>0</v>
      </c>
      <c r="Z9" s="1727">
        <f t="shared" si="2"/>
        <v>0</v>
      </c>
      <c r="AA9" s="1727">
        <f t="shared" si="2"/>
        <v>0</v>
      </c>
    </row>
    <row r="10" spans="1:27" ht="25.5" x14ac:dyDescent="0.2">
      <c r="A10" s="1900"/>
      <c r="B10" s="2002" t="s">
        <v>110</v>
      </c>
      <c r="C10" s="2548"/>
      <c r="D10" s="2548"/>
      <c r="E10" s="2548"/>
      <c r="F10" s="2548"/>
      <c r="G10" s="1766"/>
      <c r="H10" s="1933"/>
      <c r="I10" s="1934"/>
      <c r="L10" s="2002" t="s">
        <v>110</v>
      </c>
      <c r="M10" s="1903">
        <f>M4</f>
        <v>25</v>
      </c>
      <c r="N10" s="2586">
        <f>100*$J$1</f>
        <v>380</v>
      </c>
      <c r="O10" s="2548">
        <f>M10*N10</f>
        <v>9500</v>
      </c>
      <c r="P10" s="2549"/>
      <c r="Q10" s="1766"/>
      <c r="R10" s="1767"/>
      <c r="S10" s="2947"/>
      <c r="U10" s="1727">
        <f>M10-C10</f>
        <v>25</v>
      </c>
      <c r="V10" s="1727">
        <f>N10-D10</f>
        <v>380</v>
      </c>
      <c r="W10" s="1727">
        <f>O10-E10</f>
        <v>9500</v>
      </c>
      <c r="X10" s="1727">
        <f>P10-F10</f>
        <v>0</v>
      </c>
      <c r="Y10" s="1728"/>
      <c r="Z10" s="1727">
        <f>R10-H10</f>
        <v>0</v>
      </c>
      <c r="AA10" s="1727">
        <f>S10-I10</f>
        <v>0</v>
      </c>
    </row>
    <row r="11" spans="1:27" ht="14.25" customHeight="1" x14ac:dyDescent="0.2">
      <c r="A11" s="185"/>
      <c r="B11" s="2010" t="s">
        <v>115</v>
      </c>
      <c r="C11" s="2533"/>
      <c r="D11" s="2534"/>
      <c r="E11" s="2534"/>
      <c r="F11" s="333"/>
      <c r="G11" s="1766"/>
      <c r="H11" s="1942"/>
      <c r="I11" s="1956"/>
      <c r="K11" s="185"/>
      <c r="L11" s="2010" t="s">
        <v>115</v>
      </c>
      <c r="M11" s="2533">
        <v>2</v>
      </c>
      <c r="N11" s="2579"/>
      <c r="O11" s="2534"/>
      <c r="P11" s="333"/>
      <c r="Q11" s="1766"/>
      <c r="R11" s="1942"/>
      <c r="S11" s="1956"/>
      <c r="U11" s="1727">
        <f t="shared" si="0"/>
        <v>2</v>
      </c>
      <c r="V11" s="1727">
        <f t="shared" si="0"/>
        <v>0</v>
      </c>
      <c r="W11" s="1727">
        <f t="shared" si="0"/>
        <v>0</v>
      </c>
      <c r="X11" s="1727">
        <f t="shared" si="0"/>
        <v>0</v>
      </c>
      <c r="Y11" s="1728">
        <f t="shared" si="1"/>
        <v>0</v>
      </c>
      <c r="Z11" s="1727">
        <f t="shared" si="2"/>
        <v>0</v>
      </c>
      <c r="AA11" s="1727">
        <f t="shared" si="2"/>
        <v>0</v>
      </c>
    </row>
    <row r="12" spans="1:27" ht="15" customHeight="1" x14ac:dyDescent="0.2">
      <c r="A12" s="185"/>
      <c r="B12" s="2010"/>
      <c r="C12" s="2533"/>
      <c r="D12" s="2534"/>
      <c r="E12" s="2534"/>
      <c r="F12" s="333"/>
      <c r="G12" s="1766"/>
      <c r="H12" s="1942"/>
      <c r="I12" s="1956"/>
      <c r="J12" s="1731" t="s">
        <v>240</v>
      </c>
      <c r="K12" s="185"/>
      <c r="L12" s="2010" t="s">
        <v>754</v>
      </c>
      <c r="M12" s="2533">
        <v>15</v>
      </c>
      <c r="N12" s="2579"/>
      <c r="O12" s="2534"/>
      <c r="P12" s="333"/>
      <c r="Q12" s="1766"/>
      <c r="R12" s="1942"/>
      <c r="S12" s="1956"/>
      <c r="U12" s="1727">
        <f t="shared" si="0"/>
        <v>15</v>
      </c>
      <c r="V12" s="1727">
        <f t="shared" si="0"/>
        <v>0</v>
      </c>
      <c r="W12" s="1727">
        <f t="shared" si="0"/>
        <v>0</v>
      </c>
      <c r="X12" s="1727">
        <f t="shared" si="0"/>
        <v>0</v>
      </c>
      <c r="Y12" s="1728">
        <f t="shared" si="1"/>
        <v>0</v>
      </c>
      <c r="Z12" s="1727">
        <f t="shared" si="2"/>
        <v>0</v>
      </c>
      <c r="AA12" s="1727">
        <f t="shared" si="2"/>
        <v>0</v>
      </c>
    </row>
    <row r="13" spans="1:27" ht="38.25" x14ac:dyDescent="0.2">
      <c r="A13" s="185"/>
      <c r="B13" s="1763" t="s">
        <v>750</v>
      </c>
      <c r="C13" s="2008"/>
      <c r="D13" s="2531"/>
      <c r="E13" s="2008"/>
      <c r="F13" s="333"/>
      <c r="G13" s="1766"/>
      <c r="H13" s="1942"/>
      <c r="I13" s="1956"/>
      <c r="K13" s="185"/>
      <c r="L13" s="1763" t="s">
        <v>841</v>
      </c>
      <c r="M13" s="2008">
        <f>M11</f>
        <v>2</v>
      </c>
      <c r="N13" s="2514">
        <f>2000*$J$1*3+2000*J1</f>
        <v>30400</v>
      </c>
      <c r="O13" s="2008">
        <f>N13*M13</f>
        <v>60800</v>
      </c>
      <c r="P13" s="333"/>
      <c r="Q13" s="1766"/>
      <c r="R13" s="1942"/>
      <c r="S13" s="1956"/>
      <c r="U13" s="1727">
        <f t="shared" si="0"/>
        <v>2</v>
      </c>
      <c r="V13" s="1727">
        <f t="shared" si="0"/>
        <v>30400</v>
      </c>
      <c r="W13" s="1727">
        <f t="shared" si="0"/>
        <v>60800</v>
      </c>
      <c r="X13" s="1727">
        <f t="shared" si="0"/>
        <v>0</v>
      </c>
      <c r="Y13" s="1728">
        <f t="shared" si="1"/>
        <v>0</v>
      </c>
      <c r="Z13" s="1727">
        <f t="shared" si="2"/>
        <v>0</v>
      </c>
      <c r="AA13" s="1727">
        <f t="shared" si="2"/>
        <v>0</v>
      </c>
    </row>
    <row r="14" spans="1:27" x14ac:dyDescent="0.2">
      <c r="A14" s="185"/>
      <c r="B14" s="1763" t="s">
        <v>751</v>
      </c>
      <c r="C14" s="2008"/>
      <c r="D14" s="2531"/>
      <c r="E14" s="2008"/>
      <c r="F14" s="333"/>
      <c r="G14" s="1766"/>
      <c r="H14" s="1942"/>
      <c r="I14" s="1956"/>
      <c r="K14" s="185"/>
      <c r="L14" s="1763" t="s">
        <v>751</v>
      </c>
      <c r="M14" s="2008">
        <f>M12*M11</f>
        <v>30</v>
      </c>
      <c r="N14" s="2514">
        <f>550*J1</f>
        <v>2090</v>
      </c>
      <c r="O14" s="2008">
        <f>N14*M14</f>
        <v>62700</v>
      </c>
      <c r="P14" s="333"/>
      <c r="Q14" s="1766"/>
      <c r="R14" s="1942"/>
      <c r="S14" s="1956"/>
      <c r="U14" s="1727">
        <f t="shared" si="0"/>
        <v>30</v>
      </c>
      <c r="V14" s="1727">
        <f t="shared" si="0"/>
        <v>2090</v>
      </c>
      <c r="W14" s="1727">
        <f t="shared" si="0"/>
        <v>62700</v>
      </c>
      <c r="X14" s="1727">
        <f t="shared" si="0"/>
        <v>0</v>
      </c>
      <c r="Y14" s="1728">
        <f t="shared" si="1"/>
        <v>0</v>
      </c>
      <c r="Z14" s="1727">
        <f t="shared" si="2"/>
        <v>0</v>
      </c>
      <c r="AA14" s="1727">
        <f t="shared" si="2"/>
        <v>0</v>
      </c>
    </row>
    <row r="15" spans="1:27" x14ac:dyDescent="0.2">
      <c r="A15" s="185"/>
      <c r="B15" s="1763" t="s">
        <v>752</v>
      </c>
      <c r="C15" s="2008"/>
      <c r="D15" s="2531"/>
      <c r="E15" s="2008"/>
      <c r="F15" s="333"/>
      <c r="G15" s="1766"/>
      <c r="H15" s="1942"/>
      <c r="I15" s="1956"/>
      <c r="K15" s="185"/>
      <c r="L15" s="1763" t="s">
        <v>752</v>
      </c>
      <c r="M15" s="2008">
        <f>M12*M11</f>
        <v>30</v>
      </c>
      <c r="N15" s="2514">
        <f>110*J1</f>
        <v>418</v>
      </c>
      <c r="O15" s="2008">
        <f>N15*M15</f>
        <v>12540</v>
      </c>
      <c r="P15" s="333"/>
      <c r="Q15" s="1766"/>
      <c r="R15" s="1942"/>
      <c r="S15" s="1956"/>
      <c r="U15" s="1727">
        <f t="shared" si="0"/>
        <v>30</v>
      </c>
      <c r="V15" s="1727">
        <f t="shared" si="0"/>
        <v>418</v>
      </c>
      <c r="W15" s="1727">
        <f t="shared" si="0"/>
        <v>12540</v>
      </c>
      <c r="X15" s="1727">
        <f t="shared" si="0"/>
        <v>0</v>
      </c>
      <c r="Y15" s="1728">
        <f t="shared" si="1"/>
        <v>0</v>
      </c>
      <c r="Z15" s="1727">
        <f t="shared" si="2"/>
        <v>0</v>
      </c>
      <c r="AA15" s="1727">
        <f t="shared" si="2"/>
        <v>0</v>
      </c>
    </row>
    <row r="16" spans="1:27" x14ac:dyDescent="0.2">
      <c r="A16" s="185"/>
      <c r="B16" s="1763" t="s">
        <v>753</v>
      </c>
      <c r="C16" s="2008"/>
      <c r="D16" s="2535"/>
      <c r="E16" s="2008"/>
      <c r="F16" s="333"/>
      <c r="G16" s="1766"/>
      <c r="H16" s="1942"/>
      <c r="I16" s="1956"/>
      <c r="K16" s="185"/>
      <c r="L16" s="1763" t="s">
        <v>753</v>
      </c>
      <c r="M16" s="2008">
        <f>M12*M11</f>
        <v>30</v>
      </c>
      <c r="N16" s="2580">
        <f>55*2*J1</f>
        <v>418</v>
      </c>
      <c r="O16" s="2008">
        <f>N16*M16</f>
        <v>12540</v>
      </c>
      <c r="P16" s="333"/>
      <c r="Q16" s="1766"/>
      <c r="R16" s="1942"/>
      <c r="S16" s="1956"/>
      <c r="U16" s="1727">
        <f t="shared" si="0"/>
        <v>30</v>
      </c>
      <c r="V16" s="1727">
        <f t="shared" si="0"/>
        <v>418</v>
      </c>
      <c r="W16" s="1727">
        <f t="shared" si="0"/>
        <v>12540</v>
      </c>
      <c r="X16" s="1727">
        <f t="shared" si="0"/>
        <v>0</v>
      </c>
      <c r="Y16" s="1728">
        <f t="shared" si="1"/>
        <v>0</v>
      </c>
      <c r="Z16" s="1727">
        <f t="shared" si="2"/>
        <v>0</v>
      </c>
      <c r="AA16" s="1727">
        <f t="shared" si="2"/>
        <v>0</v>
      </c>
    </row>
    <row r="17" spans="1:27" x14ac:dyDescent="0.2">
      <c r="A17" s="185"/>
      <c r="B17" s="2010" t="s">
        <v>119</v>
      </c>
      <c r="C17" s="2006" t="s">
        <v>749</v>
      </c>
      <c r="D17" s="2008"/>
      <c r="E17" s="2008"/>
      <c r="F17" s="333"/>
      <c r="G17" s="1766"/>
      <c r="H17" s="1942"/>
      <c r="I17" s="1956"/>
      <c r="K17" s="185" t="s">
        <v>240</v>
      </c>
      <c r="L17" s="2010" t="s">
        <v>119</v>
      </c>
      <c r="M17" s="2006" t="s">
        <v>749</v>
      </c>
      <c r="N17" s="2578"/>
      <c r="O17" s="2008"/>
      <c r="P17" s="333"/>
      <c r="Q17" s="1766"/>
      <c r="R17" s="1942"/>
      <c r="S17" s="1956"/>
      <c r="U17" s="1727"/>
      <c r="V17" s="1727">
        <f t="shared" si="0"/>
        <v>0</v>
      </c>
      <c r="W17" s="1727">
        <f t="shared" si="0"/>
        <v>0</v>
      </c>
      <c r="X17" s="1727">
        <f t="shared" si="0"/>
        <v>0</v>
      </c>
      <c r="Y17" s="1728">
        <f t="shared" si="1"/>
        <v>0</v>
      </c>
      <c r="Z17" s="1727">
        <f t="shared" si="2"/>
        <v>0</v>
      </c>
      <c r="AA17" s="1727">
        <f t="shared" si="2"/>
        <v>0</v>
      </c>
    </row>
    <row r="18" spans="1:27" x14ac:dyDescent="0.2">
      <c r="A18" s="185"/>
      <c r="B18" s="1884" t="s">
        <v>121</v>
      </c>
      <c r="C18" s="294"/>
      <c r="D18" s="2531"/>
      <c r="E18" s="2531"/>
      <c r="F18" s="333"/>
      <c r="G18" s="1766"/>
      <c r="H18" s="1942"/>
      <c r="I18" s="1956"/>
      <c r="K18" s="185"/>
      <c r="L18" s="1884" t="s">
        <v>121</v>
      </c>
      <c r="M18" s="294">
        <v>2</v>
      </c>
      <c r="N18" s="2514">
        <f>1400*$J$1</f>
        <v>5320</v>
      </c>
      <c r="O18" s="2531">
        <f>M18*N18</f>
        <v>10640</v>
      </c>
      <c r="P18" s="333"/>
      <c r="Q18" s="1766"/>
      <c r="R18" s="1942"/>
      <c r="S18" s="1956"/>
      <c r="U18" s="1727">
        <f t="shared" si="0"/>
        <v>2</v>
      </c>
      <c r="V18" s="1727">
        <f t="shared" si="0"/>
        <v>5320</v>
      </c>
      <c r="W18" s="1727">
        <f t="shared" si="0"/>
        <v>10640</v>
      </c>
      <c r="X18" s="1727">
        <f t="shared" si="0"/>
        <v>0</v>
      </c>
      <c r="Y18" s="1728">
        <f t="shared" si="1"/>
        <v>0</v>
      </c>
      <c r="Z18" s="1727">
        <f t="shared" si="2"/>
        <v>0</v>
      </c>
      <c r="AA18" s="1727">
        <f t="shared" si="2"/>
        <v>0</v>
      </c>
    </row>
    <row r="19" spans="1:27" ht="28.5" customHeight="1" x14ac:dyDescent="0.2">
      <c r="A19" s="185"/>
      <c r="B19" s="1884" t="s">
        <v>122</v>
      </c>
      <c r="C19" s="294"/>
      <c r="D19" s="2531"/>
      <c r="E19" s="2531"/>
      <c r="F19" s="333"/>
      <c r="G19" s="1766"/>
      <c r="H19" s="1942"/>
      <c r="I19" s="1956"/>
      <c r="K19" s="185"/>
      <c r="L19" s="1884" t="s">
        <v>122</v>
      </c>
      <c r="M19" s="294">
        <v>2</v>
      </c>
      <c r="N19" s="2514">
        <f>(110+110*2)*$J$1</f>
        <v>1254</v>
      </c>
      <c r="O19" s="2531">
        <f>M19*N19</f>
        <v>2508</v>
      </c>
      <c r="P19" s="333"/>
      <c r="Q19" s="1766"/>
      <c r="R19" s="1942"/>
      <c r="S19" s="1956"/>
      <c r="U19" s="1727">
        <f t="shared" si="0"/>
        <v>2</v>
      </c>
      <c r="V19" s="1727">
        <f t="shared" si="0"/>
        <v>1254</v>
      </c>
      <c r="W19" s="1727">
        <f t="shared" si="0"/>
        <v>2508</v>
      </c>
      <c r="X19" s="1727">
        <f t="shared" si="0"/>
        <v>0</v>
      </c>
      <c r="Y19" s="1728">
        <f t="shared" si="1"/>
        <v>0</v>
      </c>
      <c r="Z19" s="1727">
        <f t="shared" si="2"/>
        <v>0</v>
      </c>
      <c r="AA19" s="1727">
        <f t="shared" si="2"/>
        <v>0</v>
      </c>
    </row>
    <row r="20" spans="1:27" ht="33" customHeight="1" x14ac:dyDescent="0.2">
      <c r="A20" s="185"/>
      <c r="B20" s="1884" t="s">
        <v>123</v>
      </c>
      <c r="C20" s="294"/>
      <c r="D20" s="2531"/>
      <c r="E20" s="2531"/>
      <c r="F20" s="333"/>
      <c r="G20" s="1766"/>
      <c r="H20" s="1942"/>
      <c r="I20" s="1956"/>
      <c r="K20" s="185"/>
      <c r="L20" s="1884" t="s">
        <v>123</v>
      </c>
      <c r="M20" s="294">
        <v>32</v>
      </c>
      <c r="N20" s="2514">
        <v>350</v>
      </c>
      <c r="O20" s="2531">
        <f>M20*N20</f>
        <v>11200</v>
      </c>
      <c r="P20" s="333"/>
      <c r="Q20" s="1766"/>
      <c r="R20" s="1942"/>
      <c r="S20" s="1956"/>
      <c r="U20" s="1727">
        <f t="shared" si="0"/>
        <v>32</v>
      </c>
      <c r="V20" s="1727">
        <f t="shared" si="0"/>
        <v>350</v>
      </c>
      <c r="W20" s="1727">
        <f t="shared" si="0"/>
        <v>11200</v>
      </c>
      <c r="X20" s="1727">
        <f t="shared" si="0"/>
        <v>0</v>
      </c>
      <c r="Y20" s="1728">
        <f t="shared" si="1"/>
        <v>0</v>
      </c>
      <c r="Z20" s="1727">
        <f t="shared" si="2"/>
        <v>0</v>
      </c>
      <c r="AA20" s="1727">
        <f t="shared" si="2"/>
        <v>0</v>
      </c>
    </row>
    <row r="21" spans="1:27" ht="33" customHeight="1" x14ac:dyDescent="0.2">
      <c r="A21" s="185"/>
      <c r="B21" s="1763" t="s">
        <v>748</v>
      </c>
      <c r="C21" s="294"/>
      <c r="D21" s="2531"/>
      <c r="E21" s="2531"/>
      <c r="F21" s="333"/>
      <c r="G21" s="1766"/>
      <c r="H21" s="1942"/>
      <c r="I21" s="1956"/>
      <c r="K21" s="185"/>
      <c r="L21" s="1763" t="s">
        <v>748</v>
      </c>
      <c r="M21" s="294">
        <v>40</v>
      </c>
      <c r="N21" s="2514">
        <f>100*J1</f>
        <v>380</v>
      </c>
      <c r="O21" s="2531">
        <f>M21*N21</f>
        <v>15200</v>
      </c>
      <c r="P21" s="333"/>
      <c r="Q21" s="1766"/>
      <c r="R21" s="1942"/>
      <c r="S21" s="1956"/>
      <c r="U21" s="1727">
        <f t="shared" si="0"/>
        <v>40</v>
      </c>
      <c r="V21" s="1727">
        <f t="shared" si="0"/>
        <v>380</v>
      </c>
      <c r="W21" s="1727">
        <f t="shared" si="0"/>
        <v>15200</v>
      </c>
      <c r="X21" s="1727">
        <f t="shared" si="0"/>
        <v>0</v>
      </c>
      <c r="Y21" s="1728">
        <f t="shared" si="1"/>
        <v>0</v>
      </c>
      <c r="Z21" s="1727">
        <f t="shared" si="2"/>
        <v>0</v>
      </c>
      <c r="AA21" s="1727">
        <f t="shared" si="2"/>
        <v>0</v>
      </c>
    </row>
    <row r="22" spans="1:27" ht="13.5" thickBot="1" x14ac:dyDescent="0.25">
      <c r="A22" s="200"/>
      <c r="B22" s="2536" t="s">
        <v>13</v>
      </c>
      <c r="C22" s="2512"/>
      <c r="D22" s="2537"/>
      <c r="E22" s="2537">
        <f>SUM(E4:E20)</f>
        <v>0</v>
      </c>
      <c r="F22" s="2537">
        <f>SUM(F4:F20)</f>
        <v>0</v>
      </c>
      <c r="G22" s="2538"/>
      <c r="H22" s="2537"/>
      <c r="I22" s="2539"/>
      <c r="K22" s="200"/>
      <c r="L22" s="2536" t="s">
        <v>13</v>
      </c>
      <c r="M22" s="2512"/>
      <c r="N22" s="2581"/>
      <c r="O22" s="2537">
        <f>SUM(O4:O21)</f>
        <v>578215.5</v>
      </c>
      <c r="P22" s="2537">
        <f>SUM(P4:P21)</f>
        <v>0</v>
      </c>
      <c r="Q22" s="2538"/>
      <c r="R22" s="2537"/>
      <c r="S22" s="2539"/>
      <c r="U22" s="2540"/>
      <c r="V22" s="2541"/>
      <c r="W22" s="2541">
        <f>SUM(W4:W21)</f>
        <v>578215.5</v>
      </c>
      <c r="X22" s="2541">
        <f>SUM(X4:X21)</f>
        <v>0</v>
      </c>
      <c r="Y22" s="2541">
        <f>SUM(Y4:Y21)</f>
        <v>0</v>
      </c>
      <c r="Z22" s="2541">
        <f>SUM(Z4:Z21)</f>
        <v>0</v>
      </c>
      <c r="AA22" s="2541">
        <f>SUM(AA4:AA21)</f>
        <v>0</v>
      </c>
    </row>
    <row r="23" spans="1:27" s="1971" customFormat="1" ht="16.5" customHeight="1" x14ac:dyDescent="0.2">
      <c r="A23" s="365"/>
      <c r="B23" s="2542"/>
      <c r="C23" s="2543"/>
      <c r="D23" s="2544"/>
      <c r="E23" s="2071"/>
      <c r="F23" s="2071"/>
      <c r="K23" s="365"/>
      <c r="L23" s="2975" t="s">
        <v>903</v>
      </c>
      <c r="M23" s="2543"/>
      <c r="N23" s="2582"/>
      <c r="O23" s="2071"/>
      <c r="P23" s="2071"/>
    </row>
    <row r="24" spans="1:27" s="1971" customFormat="1" ht="16.5" customHeight="1" x14ac:dyDescent="0.2">
      <c r="A24" s="365"/>
      <c r="B24" s="2542"/>
      <c r="C24" s="2543"/>
      <c r="D24" s="2544"/>
      <c r="E24" s="2071"/>
      <c r="F24" s="2071"/>
      <c r="K24" s="365"/>
      <c r="L24" s="2542"/>
      <c r="M24" s="2543"/>
      <c r="N24" s="2582"/>
      <c r="O24" s="2071"/>
      <c r="P24" s="2071"/>
    </row>
    <row r="25" spans="1:27" hidden="1" x14ac:dyDescent="0.2">
      <c r="A25" s="1569">
        <v>1</v>
      </c>
      <c r="B25" s="2545" t="s">
        <v>680</v>
      </c>
      <c r="C25" s="3252" t="s">
        <v>642</v>
      </c>
      <c r="D25" s="3252"/>
      <c r="E25" s="3252"/>
      <c r="F25" s="2076"/>
      <c r="G25" s="2077"/>
      <c r="H25" s="3222" t="s">
        <v>88</v>
      </c>
      <c r="I25" s="3223"/>
      <c r="K25" s="1570">
        <v>1</v>
      </c>
      <c r="L25" s="2545" t="s">
        <v>680</v>
      </c>
      <c r="M25" s="3221" t="s">
        <v>812</v>
      </c>
      <c r="N25" s="3221"/>
      <c r="O25" s="3221"/>
      <c r="P25" s="2076"/>
      <c r="Q25" s="2077"/>
      <c r="R25" s="3259" t="s">
        <v>88</v>
      </c>
      <c r="S25" s="3260"/>
      <c r="U25" s="3221" t="s">
        <v>506</v>
      </c>
      <c r="V25" s="3221"/>
      <c r="W25" s="3221"/>
      <c r="X25" s="2076"/>
      <c r="Y25" s="2546"/>
      <c r="Z25" s="3222" t="s">
        <v>88</v>
      </c>
      <c r="AA25" s="3223"/>
    </row>
    <row r="26" spans="1:27" ht="38.25" hidden="1" x14ac:dyDescent="0.2">
      <c r="A26" s="3253"/>
      <c r="B26" s="1831" t="s">
        <v>89</v>
      </c>
      <c r="C26" s="1831" t="s">
        <v>54</v>
      </c>
      <c r="D26" s="590" t="s">
        <v>91</v>
      </c>
      <c r="E26" s="590" t="s">
        <v>92</v>
      </c>
      <c r="F26" s="1829"/>
      <c r="G26" s="1766"/>
      <c r="H26" s="1831" t="s">
        <v>54</v>
      </c>
      <c r="I26" s="1832" t="s">
        <v>502</v>
      </c>
      <c r="K26" s="3256"/>
      <c r="L26" s="1831" t="s">
        <v>89</v>
      </c>
      <c r="M26" s="1831" t="s">
        <v>54</v>
      </c>
      <c r="N26" s="2576" t="s">
        <v>91</v>
      </c>
      <c r="O26" s="590" t="s">
        <v>92</v>
      </c>
      <c r="P26" s="1829"/>
      <c r="Q26" s="1766"/>
      <c r="R26" s="1831" t="s">
        <v>54</v>
      </c>
      <c r="S26" s="1832" t="s">
        <v>502</v>
      </c>
      <c r="U26" s="590" t="s">
        <v>90</v>
      </c>
      <c r="V26" s="590" t="s">
        <v>91</v>
      </c>
      <c r="W26" s="1830" t="s">
        <v>507</v>
      </c>
      <c r="X26" s="590"/>
      <c r="Y26" s="1766"/>
      <c r="Z26" s="1831" t="s">
        <v>54</v>
      </c>
      <c r="AA26" s="1832" t="s">
        <v>507</v>
      </c>
    </row>
    <row r="27" spans="1:27" ht="51" hidden="1" x14ac:dyDescent="0.2">
      <c r="A27" s="3253"/>
      <c r="B27" s="1763" t="s">
        <v>681</v>
      </c>
      <c r="C27" s="2547">
        <v>1</v>
      </c>
      <c r="D27" s="1877">
        <v>2413</v>
      </c>
      <c r="E27" s="2548">
        <f t="shared" ref="E27:E32" si="4">C27*D27</f>
        <v>2413</v>
      </c>
      <c r="F27" s="2548"/>
      <c r="G27" s="1766"/>
      <c r="H27" s="1933"/>
      <c r="I27" s="1934"/>
      <c r="K27" s="3257"/>
      <c r="L27" s="1763" t="s">
        <v>681</v>
      </c>
      <c r="M27" s="2547"/>
      <c r="N27" s="2583"/>
      <c r="O27" s="2548"/>
      <c r="P27" s="2549"/>
      <c r="Q27" s="1766"/>
      <c r="R27" s="1767"/>
      <c r="S27" s="1768"/>
      <c r="U27" s="1727">
        <f t="shared" ref="U27:U32" si="5">M27-C27</f>
        <v>-1</v>
      </c>
      <c r="V27" s="1727">
        <f t="shared" ref="V27:X32" si="6">N27-D27</f>
        <v>-2413</v>
      </c>
      <c r="W27" s="1727">
        <f t="shared" si="6"/>
        <v>-2413</v>
      </c>
      <c r="X27" s="1727">
        <f t="shared" si="6"/>
        <v>0</v>
      </c>
      <c r="Y27" s="1728"/>
      <c r="Z27" s="1727">
        <f t="shared" ref="Z27:AA32" si="7">R27-H27</f>
        <v>0</v>
      </c>
      <c r="AA27" s="1727">
        <f t="shared" si="7"/>
        <v>0</v>
      </c>
    </row>
    <row r="28" spans="1:27" hidden="1" x14ac:dyDescent="0.2">
      <c r="A28" s="3253"/>
      <c r="B28" s="2010" t="s">
        <v>682</v>
      </c>
      <c r="C28" s="2547">
        <v>8</v>
      </c>
      <c r="D28" s="1877"/>
      <c r="E28" s="2548"/>
      <c r="F28" s="2548"/>
      <c r="G28" s="1766"/>
      <c r="H28" s="1933"/>
      <c r="I28" s="1934"/>
      <c r="K28" s="3257"/>
      <c r="L28" s="2010" t="s">
        <v>682</v>
      </c>
      <c r="M28" s="2547"/>
      <c r="N28" s="2583"/>
      <c r="O28" s="2548"/>
      <c r="P28" s="2549"/>
      <c r="Q28" s="1766"/>
      <c r="R28" s="1767"/>
      <c r="S28" s="1768"/>
      <c r="U28" s="1727">
        <f t="shared" si="5"/>
        <v>-8</v>
      </c>
      <c r="V28" s="1727">
        <f t="shared" si="6"/>
        <v>0</v>
      </c>
      <c r="W28" s="1727">
        <f t="shared" si="6"/>
        <v>0</v>
      </c>
      <c r="X28" s="1727">
        <f t="shared" si="6"/>
        <v>0</v>
      </c>
      <c r="Y28" s="1728"/>
      <c r="Z28" s="1727">
        <f t="shared" si="7"/>
        <v>0</v>
      </c>
      <c r="AA28" s="1727">
        <f t="shared" si="7"/>
        <v>0</v>
      </c>
    </row>
    <row r="29" spans="1:27" ht="25.5" hidden="1" x14ac:dyDescent="0.2">
      <c r="A29" s="3253"/>
      <c r="B29" s="1763" t="s">
        <v>683</v>
      </c>
      <c r="C29" s="2547">
        <v>8</v>
      </c>
      <c r="D29" s="1877">
        <v>1108</v>
      </c>
      <c r="E29" s="2548">
        <f t="shared" si="4"/>
        <v>8864</v>
      </c>
      <c r="F29" s="2548"/>
      <c r="G29" s="1766"/>
      <c r="H29" s="1933"/>
      <c r="I29" s="1934"/>
      <c r="K29" s="3257"/>
      <c r="L29" s="1763" t="s">
        <v>683</v>
      </c>
      <c r="M29" s="2547"/>
      <c r="N29" s="2583"/>
      <c r="O29" s="2548"/>
      <c r="P29" s="2549"/>
      <c r="Q29" s="1766"/>
      <c r="R29" s="1767"/>
      <c r="S29" s="1768"/>
      <c r="U29" s="1727">
        <f t="shared" si="5"/>
        <v>-8</v>
      </c>
      <c r="V29" s="1727">
        <f t="shared" si="6"/>
        <v>-1108</v>
      </c>
      <c r="W29" s="1727">
        <f t="shared" si="6"/>
        <v>-8864</v>
      </c>
      <c r="X29" s="1727">
        <f t="shared" si="6"/>
        <v>0</v>
      </c>
      <c r="Y29" s="1728"/>
      <c r="Z29" s="1727">
        <f t="shared" si="7"/>
        <v>0</v>
      </c>
      <c r="AA29" s="1727">
        <f t="shared" si="7"/>
        <v>0</v>
      </c>
    </row>
    <row r="30" spans="1:27" hidden="1" x14ac:dyDescent="0.2">
      <c r="A30" s="3253"/>
      <c r="B30" s="1763" t="s">
        <v>112</v>
      </c>
      <c r="C30" s="2547">
        <v>8</v>
      </c>
      <c r="D30" s="1877">
        <v>21723</v>
      </c>
      <c r="E30" s="2548">
        <f t="shared" si="4"/>
        <v>173784</v>
      </c>
      <c r="F30" s="2548"/>
      <c r="G30" s="1766"/>
      <c r="H30" s="1933"/>
      <c r="I30" s="1934"/>
      <c r="K30" s="3257"/>
      <c r="L30" s="1763" t="s">
        <v>112</v>
      </c>
      <c r="M30" s="2547"/>
      <c r="N30" s="2583"/>
      <c r="O30" s="2548"/>
      <c r="P30" s="2549"/>
      <c r="Q30" s="1766"/>
      <c r="R30" s="1767"/>
      <c r="S30" s="1768"/>
      <c r="U30" s="1727">
        <f t="shared" si="5"/>
        <v>-8</v>
      </c>
      <c r="V30" s="1727">
        <f t="shared" si="6"/>
        <v>-21723</v>
      </c>
      <c r="W30" s="1727">
        <f t="shared" si="6"/>
        <v>-173784</v>
      </c>
      <c r="X30" s="1727">
        <f t="shared" si="6"/>
        <v>0</v>
      </c>
      <c r="Y30" s="1728"/>
      <c r="Z30" s="1727">
        <f t="shared" si="7"/>
        <v>0</v>
      </c>
      <c r="AA30" s="1727">
        <f t="shared" si="7"/>
        <v>0</v>
      </c>
    </row>
    <row r="31" spans="1:27" hidden="1" x14ac:dyDescent="0.2">
      <c r="A31" s="3253"/>
      <c r="B31" s="1884" t="s">
        <v>684</v>
      </c>
      <c r="C31" s="2547">
        <v>8</v>
      </c>
      <c r="D31" s="1877">
        <v>-10861</v>
      </c>
      <c r="E31" s="2548">
        <f t="shared" si="4"/>
        <v>-86888</v>
      </c>
      <c r="F31" s="2548"/>
      <c r="G31" s="1766"/>
      <c r="H31" s="1933"/>
      <c r="I31" s="1934"/>
      <c r="K31" s="3257"/>
      <c r="L31" s="1884" t="s">
        <v>684</v>
      </c>
      <c r="M31" s="2547"/>
      <c r="N31" s="2583"/>
      <c r="O31" s="2548"/>
      <c r="P31" s="2549"/>
      <c r="Q31" s="1766"/>
      <c r="R31" s="1767"/>
      <c r="S31" s="1768"/>
      <c r="U31" s="1727">
        <f t="shared" si="5"/>
        <v>-8</v>
      </c>
      <c r="V31" s="1727">
        <f t="shared" si="6"/>
        <v>10861</v>
      </c>
      <c r="W31" s="1727">
        <f t="shared" si="6"/>
        <v>86888</v>
      </c>
      <c r="X31" s="1727">
        <f t="shared" si="6"/>
        <v>0</v>
      </c>
      <c r="Y31" s="1728"/>
      <c r="Z31" s="1727">
        <f t="shared" si="7"/>
        <v>0</v>
      </c>
      <c r="AA31" s="1727">
        <f t="shared" si="7"/>
        <v>0</v>
      </c>
    </row>
    <row r="32" spans="1:27" ht="25.5" hidden="1" x14ac:dyDescent="0.2">
      <c r="A32" s="3253"/>
      <c r="B32" s="1763" t="s">
        <v>685</v>
      </c>
      <c r="C32" s="2547">
        <v>0</v>
      </c>
      <c r="D32" s="1877">
        <v>0</v>
      </c>
      <c r="E32" s="2548">
        <f t="shared" si="4"/>
        <v>0</v>
      </c>
      <c r="F32" s="2548"/>
      <c r="G32" s="1766"/>
      <c r="H32" s="1933"/>
      <c r="I32" s="1934"/>
      <c r="K32" s="3258"/>
      <c r="L32" s="1763" t="s">
        <v>685</v>
      </c>
      <c r="M32" s="2547"/>
      <c r="N32" s="2583"/>
      <c r="O32" s="2548"/>
      <c r="P32" s="2549"/>
      <c r="Q32" s="1766"/>
      <c r="R32" s="1767"/>
      <c r="S32" s="1768"/>
      <c r="U32" s="1727">
        <f t="shared" si="5"/>
        <v>0</v>
      </c>
      <c r="V32" s="1727">
        <f t="shared" si="6"/>
        <v>0</v>
      </c>
      <c r="W32" s="1727">
        <f t="shared" si="6"/>
        <v>0</v>
      </c>
      <c r="X32" s="1727">
        <f t="shared" si="6"/>
        <v>0</v>
      </c>
      <c r="Y32" s="1728"/>
      <c r="Z32" s="1727">
        <f t="shared" si="7"/>
        <v>0</v>
      </c>
      <c r="AA32" s="1727">
        <f t="shared" si="7"/>
        <v>0</v>
      </c>
    </row>
    <row r="33" spans="1:27" ht="13.5" hidden="1" thickBot="1" x14ac:dyDescent="0.25">
      <c r="A33" s="282"/>
      <c r="B33" s="2550" t="s">
        <v>13</v>
      </c>
      <c r="C33" s="2551"/>
      <c r="D33" s="2551"/>
      <c r="E33" s="1896">
        <f>SUM(E27:E32)</f>
        <v>98173</v>
      </c>
      <c r="F33" s="1896">
        <f>SUM(F27:F32)</f>
        <v>0</v>
      </c>
      <c r="G33" s="1896">
        <f>SUM(G27:G32)</f>
        <v>0</v>
      </c>
      <c r="H33" s="1896">
        <f>SUM(H27:H32)</f>
        <v>0</v>
      </c>
      <c r="I33" s="1898">
        <f>SUM(I27:I32)</f>
        <v>0</v>
      </c>
      <c r="K33" s="213"/>
      <c r="L33" s="2552" t="s">
        <v>13</v>
      </c>
      <c r="M33" s="472"/>
      <c r="N33" s="627"/>
      <c r="O33" s="1779">
        <f>SUM(O27:O32)</f>
        <v>0</v>
      </c>
      <c r="P33" s="1779">
        <f>SUM(P27:P32)</f>
        <v>0</v>
      </c>
      <c r="Q33" s="1779">
        <f>SUM(Q27:Q32)</f>
        <v>0</v>
      </c>
      <c r="R33" s="1779">
        <f>SUM(R27:R32)</f>
        <v>0</v>
      </c>
      <c r="S33" s="1779">
        <f>SUM(S27:S32)</f>
        <v>0</v>
      </c>
      <c r="U33" s="472"/>
      <c r="V33" s="472"/>
      <c r="W33" s="1779">
        <f>SUM(W27:W32)</f>
        <v>-98173</v>
      </c>
      <c r="X33" s="1779">
        <f>SUM(X27:X32)</f>
        <v>0</v>
      </c>
      <c r="Y33" s="1779">
        <f>SUM(Y27:Y32)</f>
        <v>0</v>
      </c>
      <c r="Z33" s="1779">
        <f>SUM(Z27:Z32)</f>
        <v>0</v>
      </c>
      <c r="AA33" s="1779">
        <f>SUM(AA27:AA32)</f>
        <v>0</v>
      </c>
    </row>
    <row r="34" spans="1:27" hidden="1" x14ac:dyDescent="0.2">
      <c r="A34" s="1731"/>
      <c r="B34" s="1731"/>
      <c r="C34" s="1730">
        <f>E33/C28</f>
        <v>12271.625</v>
      </c>
    </row>
    <row r="35" spans="1:27" ht="13.5" thickBot="1" x14ac:dyDescent="0.25">
      <c r="A35" s="2555"/>
      <c r="B35" s="2556"/>
      <c r="C35" s="1971"/>
      <c r="D35" s="1971"/>
      <c r="E35" s="1971"/>
      <c r="F35" s="1971"/>
      <c r="K35" s="2997"/>
      <c r="L35" s="2998"/>
      <c r="M35" s="2999"/>
      <c r="N35" s="3000"/>
      <c r="O35" s="2999"/>
      <c r="P35" s="1971"/>
    </row>
    <row r="36" spans="1:27" x14ac:dyDescent="0.2">
      <c r="A36" s="399">
        <v>2</v>
      </c>
      <c r="B36" s="2557" t="s">
        <v>686</v>
      </c>
      <c r="C36" s="3252" t="s">
        <v>642</v>
      </c>
      <c r="D36" s="3252"/>
      <c r="E36" s="3252"/>
      <c r="F36" s="1937"/>
      <c r="G36" s="1938"/>
      <c r="H36" s="3217" t="s">
        <v>88</v>
      </c>
      <c r="I36" s="3218"/>
      <c r="K36" s="399">
        <v>2</v>
      </c>
      <c r="L36" s="2557" t="s">
        <v>686</v>
      </c>
      <c r="M36" s="3216" t="s">
        <v>812</v>
      </c>
      <c r="N36" s="3216"/>
      <c r="O36" s="3216"/>
      <c r="P36" s="2981"/>
      <c r="Q36" s="1938"/>
      <c r="R36" s="3231" t="s">
        <v>88</v>
      </c>
      <c r="S36" s="3232"/>
      <c r="U36" s="3216" t="s">
        <v>506</v>
      </c>
      <c r="V36" s="3216"/>
      <c r="W36" s="3216"/>
      <c r="X36" s="1937"/>
      <c r="Y36" s="1939"/>
      <c r="Z36" s="3217" t="s">
        <v>88</v>
      </c>
      <c r="AA36" s="3218"/>
    </row>
    <row r="37" spans="1:27" ht="38.25" x14ac:dyDescent="0.2">
      <c r="A37" s="3253"/>
      <c r="B37" s="1831" t="s">
        <v>89</v>
      </c>
      <c r="C37" s="1831" t="s">
        <v>54</v>
      </c>
      <c r="D37" s="590" t="s">
        <v>91</v>
      </c>
      <c r="E37" s="590" t="s">
        <v>92</v>
      </c>
      <c r="F37" s="1829"/>
      <c r="G37" s="1766"/>
      <c r="H37" s="1831" t="s">
        <v>54</v>
      </c>
      <c r="I37" s="1832" t="s">
        <v>502</v>
      </c>
      <c r="K37" s="3254"/>
      <c r="L37" s="1831" t="s">
        <v>89</v>
      </c>
      <c r="M37" s="1831" t="s">
        <v>54</v>
      </c>
      <c r="N37" s="2576" t="s">
        <v>91</v>
      </c>
      <c r="O37" s="590" t="s">
        <v>92</v>
      </c>
      <c r="P37" s="1829"/>
      <c r="Q37" s="1766"/>
      <c r="R37" s="1831" t="s">
        <v>54</v>
      </c>
      <c r="S37" s="1832" t="s">
        <v>502</v>
      </c>
      <c r="U37" s="590" t="s">
        <v>90</v>
      </c>
      <c r="V37" s="590" t="s">
        <v>91</v>
      </c>
      <c r="W37" s="1830" t="s">
        <v>507</v>
      </c>
      <c r="X37" s="590"/>
      <c r="Y37" s="1766"/>
      <c r="Z37" s="1831" t="s">
        <v>54</v>
      </c>
      <c r="AA37" s="1832" t="s">
        <v>507</v>
      </c>
    </row>
    <row r="38" spans="1:27" x14ac:dyDescent="0.2">
      <c r="A38" s="3253"/>
      <c r="B38" s="1771" t="s">
        <v>285</v>
      </c>
      <c r="C38" s="2547">
        <v>10</v>
      </c>
      <c r="D38" s="1877"/>
      <c r="E38" s="2548"/>
      <c r="F38" s="2548"/>
      <c r="G38" s="1766"/>
      <c r="H38" s="1933"/>
      <c r="I38" s="1934"/>
      <c r="K38" s="3255"/>
      <c r="L38" s="1771" t="s">
        <v>285</v>
      </c>
      <c r="M38" s="2547">
        <v>18</v>
      </c>
      <c r="N38" s="2583"/>
      <c r="O38" s="2548"/>
      <c r="P38" s="2549"/>
      <c r="Q38" s="1766"/>
      <c r="R38" s="1767"/>
      <c r="S38" s="1768"/>
      <c r="U38" s="1727">
        <f>M38-C38</f>
        <v>8</v>
      </c>
      <c r="V38" s="1727">
        <f t="shared" ref="V38:X40" si="8">N38-D38</f>
        <v>0</v>
      </c>
      <c r="W38" s="1727">
        <f t="shared" si="8"/>
        <v>0</v>
      </c>
      <c r="X38" s="1727">
        <f t="shared" si="8"/>
        <v>0</v>
      </c>
      <c r="Y38" s="1728"/>
      <c r="Z38" s="1727">
        <f t="shared" ref="Z38:AA40" si="9">R38-H38</f>
        <v>0</v>
      </c>
      <c r="AA38" s="1727">
        <f t="shared" si="9"/>
        <v>0</v>
      </c>
    </row>
    <row r="39" spans="1:27" x14ac:dyDescent="0.2">
      <c r="A39" s="3253"/>
      <c r="B39" s="1763" t="s">
        <v>755</v>
      </c>
      <c r="C39" s="2547">
        <v>30</v>
      </c>
      <c r="D39" s="1877"/>
      <c r="E39" s="2548"/>
      <c r="F39" s="2548"/>
      <c r="G39" s="1766"/>
      <c r="H39" s="1933"/>
      <c r="I39" s="1934"/>
      <c r="K39" s="3255"/>
      <c r="L39" s="1763" t="s">
        <v>755</v>
      </c>
      <c r="M39" s="2547">
        <v>30</v>
      </c>
      <c r="N39" s="2583"/>
      <c r="O39" s="2548"/>
      <c r="P39" s="2549"/>
      <c r="Q39" s="1766"/>
      <c r="R39" s="1767"/>
      <c r="S39" s="1768"/>
      <c r="U39" s="1727">
        <f>M39-C39</f>
        <v>0</v>
      </c>
      <c r="V39" s="1727">
        <f t="shared" si="8"/>
        <v>0</v>
      </c>
      <c r="W39" s="1727">
        <f t="shared" si="8"/>
        <v>0</v>
      </c>
      <c r="X39" s="1727">
        <f t="shared" si="8"/>
        <v>0</v>
      </c>
      <c r="Y39" s="1728"/>
      <c r="Z39" s="1727">
        <f t="shared" si="9"/>
        <v>0</v>
      </c>
      <c r="AA39" s="1727">
        <f t="shared" si="9"/>
        <v>0</v>
      </c>
    </row>
    <row r="40" spans="1:27" ht="89.25" x14ac:dyDescent="0.2">
      <c r="A40" s="3253"/>
      <c r="B40" s="1763" t="s">
        <v>843</v>
      </c>
      <c r="C40" s="2547">
        <v>10</v>
      </c>
      <c r="D40" s="1877">
        <f>1000*$J$1+350*$J$1+400*$J$1*2</f>
        <v>8170</v>
      </c>
      <c r="E40" s="2548">
        <f>C40*D40</f>
        <v>81700</v>
      </c>
      <c r="F40" s="2548"/>
      <c r="G40" s="1766"/>
      <c r="H40" s="1933"/>
      <c r="I40" s="1934"/>
      <c r="K40" s="3255"/>
      <c r="L40" s="1763" t="s">
        <v>842</v>
      </c>
      <c r="M40" s="2547">
        <f>M38</f>
        <v>18</v>
      </c>
      <c r="N40" s="2583">
        <f>1000*$J$1+350*$J$1+400*$J$1*2</f>
        <v>8170</v>
      </c>
      <c r="O40" s="2548">
        <f>M40*N40</f>
        <v>147060</v>
      </c>
      <c r="P40" s="2549"/>
      <c r="Q40" s="1766"/>
      <c r="R40" s="1767"/>
      <c r="S40" s="1768"/>
      <c r="U40" s="1727">
        <f>M40-C40</f>
        <v>8</v>
      </c>
      <c r="V40" s="1727">
        <f t="shared" si="8"/>
        <v>0</v>
      </c>
      <c r="W40" s="1727">
        <f t="shared" si="8"/>
        <v>65360</v>
      </c>
      <c r="X40" s="1727">
        <f t="shared" si="8"/>
        <v>0</v>
      </c>
      <c r="Y40" s="1728"/>
      <c r="Z40" s="1727">
        <f t="shared" si="9"/>
        <v>0</v>
      </c>
      <c r="AA40" s="1727">
        <f t="shared" si="9"/>
        <v>0</v>
      </c>
    </row>
    <row r="41" spans="1:27" ht="13.5" thickBot="1" x14ac:dyDescent="0.25">
      <c r="A41" s="282"/>
      <c r="B41" s="2550" t="s">
        <v>13</v>
      </c>
      <c r="C41" s="2551"/>
      <c r="D41" s="2551"/>
      <c r="E41" s="1896">
        <f>SUM(E40:E40)</f>
        <v>81700</v>
      </c>
      <c r="F41" s="1896">
        <f>SUM(F40:F40)</f>
        <v>0</v>
      </c>
      <c r="G41" s="1896">
        <f>SUM(G40:G40)</f>
        <v>0</v>
      </c>
      <c r="H41" s="1896">
        <f>SUM(H40:H40)</f>
        <v>0</v>
      </c>
      <c r="I41" s="1898">
        <f>SUM(I40:I40)</f>
        <v>0</v>
      </c>
      <c r="K41" s="282"/>
      <c r="L41" s="2550" t="s">
        <v>13</v>
      </c>
      <c r="M41" s="2551"/>
      <c r="N41" s="3001"/>
      <c r="O41" s="1896">
        <f>SUM(O40:O40)</f>
        <v>147060</v>
      </c>
      <c r="P41" s="1896">
        <f>SUM(P40:P40)</f>
        <v>0</v>
      </c>
      <c r="Q41" s="1896">
        <f>SUM(Q40:Q40)</f>
        <v>0</v>
      </c>
      <c r="R41" s="1896">
        <f>SUM(R40:R40)</f>
        <v>0</v>
      </c>
      <c r="S41" s="1898">
        <f>SUM(S40:S40)</f>
        <v>0</v>
      </c>
      <c r="U41" s="472"/>
      <c r="V41" s="472"/>
      <c r="W41" s="1779">
        <f>SUM(W40:W40)</f>
        <v>65360</v>
      </c>
      <c r="X41" s="1779">
        <f>SUM(X40:X40)</f>
        <v>0</v>
      </c>
      <c r="Y41" s="1779">
        <f>SUM(Y40:Y40)</f>
        <v>0</v>
      </c>
      <c r="Z41" s="1779">
        <f>SUM(Z40:Z40)</f>
        <v>0</v>
      </c>
      <c r="AA41" s="1779">
        <f>SUM(AA40:AA40)</f>
        <v>0</v>
      </c>
    </row>
    <row r="42" spans="1:27" x14ac:dyDescent="0.2">
      <c r="A42" s="1731"/>
      <c r="B42" s="1731"/>
      <c r="O42" s="1930">
        <v>0</v>
      </c>
    </row>
    <row r="43" spans="1:27" ht="13.5" thickBot="1" x14ac:dyDescent="0.25">
      <c r="B43" s="2553"/>
      <c r="C43" s="2554"/>
      <c r="D43" s="2554"/>
      <c r="E43" s="2071"/>
      <c r="F43" s="2071"/>
      <c r="K43" s="303"/>
      <c r="L43" s="2553"/>
      <c r="M43" s="2554"/>
      <c r="N43" s="2584"/>
      <c r="O43" s="2071"/>
      <c r="P43" s="2071"/>
    </row>
    <row r="44" spans="1:27" x14ac:dyDescent="0.2">
      <c r="A44" s="369"/>
      <c r="B44" s="2559" t="s">
        <v>687</v>
      </c>
      <c r="C44" s="3252" t="s">
        <v>642</v>
      </c>
      <c r="D44" s="3252"/>
      <c r="E44" s="3252"/>
      <c r="F44" s="1937"/>
      <c r="G44" s="1938"/>
      <c r="H44" s="3217" t="s">
        <v>88</v>
      </c>
      <c r="I44" s="3218"/>
      <c r="K44" s="303"/>
      <c r="L44" s="2560" t="s">
        <v>770</v>
      </c>
      <c r="M44" s="3216" t="s">
        <v>812</v>
      </c>
      <c r="N44" s="3216"/>
      <c r="O44" s="3216"/>
      <c r="P44" s="1937"/>
      <c r="Q44" s="1938"/>
      <c r="R44" s="3231" t="s">
        <v>88</v>
      </c>
      <c r="S44" s="3232"/>
      <c r="U44" s="3216" t="s">
        <v>506</v>
      </c>
      <c r="V44" s="3216"/>
      <c r="W44" s="3216"/>
      <c r="X44" s="1937"/>
      <c r="Y44" s="1939"/>
      <c r="Z44" s="3217" t="s">
        <v>88</v>
      </c>
      <c r="AA44" s="3218"/>
    </row>
    <row r="45" spans="1:27" ht="51" x14ac:dyDescent="0.2">
      <c r="A45" s="1900"/>
      <c r="B45" s="1831" t="s">
        <v>89</v>
      </c>
      <c r="C45" s="1964" t="s">
        <v>54</v>
      </c>
      <c r="D45" s="1829" t="s">
        <v>91</v>
      </c>
      <c r="E45" s="1829" t="s">
        <v>92</v>
      </c>
      <c r="F45" s="1829"/>
      <c r="G45" s="1766"/>
      <c r="H45" s="1831" t="s">
        <v>54</v>
      </c>
      <c r="I45" s="1832" t="s">
        <v>502</v>
      </c>
      <c r="L45" s="1831" t="s">
        <v>89</v>
      </c>
      <c r="M45" s="1964" t="s">
        <v>54</v>
      </c>
      <c r="N45" s="2576" t="s">
        <v>91</v>
      </c>
      <c r="O45" s="1829" t="s">
        <v>92</v>
      </c>
      <c r="P45" s="1829" t="s">
        <v>106</v>
      </c>
      <c r="Q45" s="1766"/>
      <c r="R45" s="1831" t="s">
        <v>54</v>
      </c>
      <c r="S45" s="1832" t="s">
        <v>502</v>
      </c>
      <c r="U45" s="590" t="s">
        <v>90</v>
      </c>
      <c r="V45" s="590" t="s">
        <v>91</v>
      </c>
      <c r="W45" s="1830" t="s">
        <v>507</v>
      </c>
      <c r="X45" s="590"/>
      <c r="Y45" s="1766"/>
      <c r="Z45" s="1831" t="s">
        <v>54</v>
      </c>
      <c r="AA45" s="1832" t="s">
        <v>507</v>
      </c>
    </row>
    <row r="46" spans="1:27" s="1881" customFormat="1" x14ac:dyDescent="0.2">
      <c r="A46" s="2854"/>
      <c r="B46" s="2855" t="s">
        <v>756</v>
      </c>
      <c r="C46" s="2856">
        <v>0.5</v>
      </c>
      <c r="D46" s="2857"/>
      <c r="E46" s="2857"/>
      <c r="F46" s="2857"/>
      <c r="G46" s="2125"/>
      <c r="H46" s="2088"/>
      <c r="I46" s="2858"/>
      <c r="L46" s="2855" t="s">
        <v>770</v>
      </c>
      <c r="M46" s="2859">
        <v>1.5</v>
      </c>
      <c r="N46" s="2860"/>
      <c r="O46" s="2857"/>
      <c r="P46" s="2861"/>
      <c r="Q46" s="2125"/>
      <c r="R46" s="2862"/>
      <c r="S46" s="2863"/>
      <c r="U46" s="1743">
        <f>M46-C46</f>
        <v>1</v>
      </c>
      <c r="V46" s="1743">
        <f t="shared" ref="V46:X48" si="10">N46-D46</f>
        <v>0</v>
      </c>
      <c r="W46" s="1743">
        <f t="shared" si="10"/>
        <v>0</v>
      </c>
      <c r="X46" s="1743">
        <f t="shared" si="10"/>
        <v>0</v>
      </c>
      <c r="Y46" s="1744"/>
      <c r="Z46" s="1743">
        <f t="shared" ref="Z46:AA48" si="11">R46-H46</f>
        <v>0</v>
      </c>
      <c r="AA46" s="1743">
        <f t="shared" si="11"/>
        <v>0</v>
      </c>
    </row>
    <row r="47" spans="1:27" x14ac:dyDescent="0.2">
      <c r="A47" s="1900"/>
      <c r="B47" s="1771" t="s">
        <v>688</v>
      </c>
      <c r="C47" s="2548">
        <v>7</v>
      </c>
      <c r="D47" s="2548">
        <v>7600</v>
      </c>
      <c r="E47" s="2548">
        <f>C47*D47</f>
        <v>53200</v>
      </c>
      <c r="F47" s="2548"/>
      <c r="G47" s="1766"/>
      <c r="H47" s="1933"/>
      <c r="I47" s="1934"/>
      <c r="J47" s="1731" t="s">
        <v>240</v>
      </c>
      <c r="L47" s="1771" t="s">
        <v>688</v>
      </c>
      <c r="M47" s="2977">
        <f>15*0.5+9</f>
        <v>16.5</v>
      </c>
      <c r="N47" s="2586">
        <f>4000*$J$1</f>
        <v>15200</v>
      </c>
      <c r="O47" s="2548">
        <f>M47*N47*0.85</f>
        <v>213180</v>
      </c>
      <c r="P47" s="2549">
        <f>N47*M47*0.15</f>
        <v>37620</v>
      </c>
      <c r="Q47" s="1766"/>
      <c r="R47" s="1767"/>
      <c r="S47" s="2945">
        <v>610000</v>
      </c>
      <c r="U47" s="1727">
        <f>M47-C47</f>
        <v>9.5</v>
      </c>
      <c r="V47" s="1727">
        <f t="shared" si="10"/>
        <v>7600</v>
      </c>
      <c r="W47" s="1727">
        <f t="shared" si="10"/>
        <v>159980</v>
      </c>
      <c r="X47" s="1727">
        <f t="shared" si="10"/>
        <v>37620</v>
      </c>
      <c r="Y47" s="1728"/>
      <c r="Z47" s="1727">
        <f t="shared" si="11"/>
        <v>0</v>
      </c>
      <c r="AA47" s="1727">
        <f t="shared" si="11"/>
        <v>610000</v>
      </c>
    </row>
    <row r="48" spans="1:27" ht="26.25" thickBot="1" x14ac:dyDescent="0.25">
      <c r="A48" s="1900"/>
      <c r="B48" s="2002" t="s">
        <v>109</v>
      </c>
      <c r="C48" s="2548"/>
      <c r="D48" s="2548"/>
      <c r="E48" s="2548"/>
      <c r="F48" s="2548"/>
      <c r="G48" s="1766"/>
      <c r="H48" s="1933"/>
      <c r="I48" s="1934"/>
      <c r="L48" s="2002" t="s">
        <v>909</v>
      </c>
      <c r="M48" s="2976">
        <f>9*1.5</f>
        <v>13.5</v>
      </c>
      <c r="N48" s="2586">
        <f>1000*$J$1</f>
        <v>3800</v>
      </c>
      <c r="O48" s="2548">
        <f>M48*N48*0.85</f>
        <v>43605</v>
      </c>
      <c r="P48" s="2549">
        <f>N48*M48*0.15</f>
        <v>7695</v>
      </c>
      <c r="Q48" s="1766"/>
      <c r="R48" s="1767"/>
      <c r="S48" s="2946"/>
      <c r="U48" s="1727">
        <f>M48-C48</f>
        <v>13.5</v>
      </c>
      <c r="V48" s="1727">
        <f t="shared" si="10"/>
        <v>3800</v>
      </c>
      <c r="W48" s="1727">
        <f t="shared" si="10"/>
        <v>43605</v>
      </c>
      <c r="X48" s="1727">
        <f t="shared" si="10"/>
        <v>7695</v>
      </c>
      <c r="Y48" s="1728"/>
      <c r="Z48" s="1727">
        <f t="shared" si="11"/>
        <v>0</v>
      </c>
      <c r="AA48" s="1727">
        <f t="shared" si="11"/>
        <v>0</v>
      </c>
    </row>
    <row r="49" spans="1:27" ht="13.5" thickBot="1" x14ac:dyDescent="0.25">
      <c r="A49" s="200"/>
      <c r="B49" s="2561" t="s">
        <v>13</v>
      </c>
      <c r="C49" s="2026"/>
      <c r="D49" s="2026"/>
      <c r="E49" s="1864">
        <f>SUM(E47:E48)</f>
        <v>53200</v>
      </c>
      <c r="F49" s="1864">
        <f>SUM(F47:F48)</f>
        <v>0</v>
      </c>
      <c r="G49" s="1864">
        <f>SUM(G47:G48)</f>
        <v>0</v>
      </c>
      <c r="H49" s="1864">
        <f>SUM(H47:H48)</f>
        <v>0</v>
      </c>
      <c r="I49" s="2028">
        <f>SUM(I47:I48)</f>
        <v>0</v>
      </c>
      <c r="K49" s="2562"/>
      <c r="L49" s="2123" t="s">
        <v>13</v>
      </c>
      <c r="M49" s="1879"/>
      <c r="N49" s="2587"/>
      <c r="O49" s="1782">
        <f>SUM(O47:O48)</f>
        <v>256785</v>
      </c>
      <c r="P49" s="1782">
        <f>SUM(P47:P48)</f>
        <v>45315</v>
      </c>
      <c r="Q49" s="1782">
        <f>SUM(Q47:Q48)</f>
        <v>0</v>
      </c>
      <c r="R49" s="1782">
        <f>SUM(R47:R48)</f>
        <v>0</v>
      </c>
      <c r="S49" s="1782">
        <f>SUM(S47:S48)</f>
        <v>610000</v>
      </c>
      <c r="U49" s="1879"/>
      <c r="V49" s="1879"/>
      <c r="W49" s="1782">
        <f>SUM(W47:W48)</f>
        <v>203585</v>
      </c>
      <c r="X49" s="1782">
        <f>SUM(X47:X48)</f>
        <v>45315</v>
      </c>
      <c r="Y49" s="1782">
        <f>SUM(Y47:Y48)</f>
        <v>0</v>
      </c>
      <c r="Z49" s="1782">
        <f>SUM(Z47:Z48)</f>
        <v>0</v>
      </c>
      <c r="AA49" s="1782">
        <f>SUM(AA47:AA48)</f>
        <v>610000</v>
      </c>
    </row>
    <row r="50" spans="1:27" x14ac:dyDescent="0.2">
      <c r="A50" s="1731"/>
      <c r="B50" s="646"/>
      <c r="C50" s="2563"/>
      <c r="D50" s="2563"/>
      <c r="E50" s="2563"/>
      <c r="F50" s="2563"/>
      <c r="L50" s="2951" t="s">
        <v>901</v>
      </c>
      <c r="M50" s="2952"/>
      <c r="N50" s="2953"/>
      <c r="O50" s="2952"/>
      <c r="P50" s="2952"/>
      <c r="Q50" s="2948"/>
      <c r="R50" s="2948"/>
    </row>
    <row r="51" spans="1:27" x14ac:dyDescent="0.2">
      <c r="A51" s="1731"/>
      <c r="B51" s="646" t="s">
        <v>689</v>
      </c>
      <c r="C51" s="2563"/>
      <c r="D51" s="2563"/>
      <c r="E51" s="2563"/>
      <c r="F51" s="2563"/>
      <c r="L51" s="2659" t="s">
        <v>773</v>
      </c>
      <c r="M51" s="2563"/>
      <c r="N51" s="2588"/>
      <c r="O51" s="2563">
        <v>0</v>
      </c>
      <c r="P51" s="2563"/>
    </row>
    <row r="52" spans="1:27" x14ac:dyDescent="0.2">
      <c r="A52" s="1731"/>
      <c r="B52" s="646"/>
      <c r="C52" s="2563"/>
      <c r="D52" s="2563"/>
      <c r="E52" s="2563"/>
      <c r="F52" s="2563"/>
      <c r="L52" s="2659" t="s">
        <v>910</v>
      </c>
      <c r="M52" s="2563"/>
      <c r="N52" s="2588"/>
      <c r="O52" s="2563"/>
      <c r="P52" s="2563"/>
    </row>
    <row r="53" spans="1:27" ht="15" hidden="1" customHeight="1" x14ac:dyDescent="0.2">
      <c r="A53" s="210">
        <v>3</v>
      </c>
      <c r="B53" s="2000" t="s">
        <v>56</v>
      </c>
      <c r="C53" s="3252" t="s">
        <v>642</v>
      </c>
      <c r="D53" s="3252"/>
      <c r="E53" s="3252"/>
      <c r="F53" s="2530"/>
      <c r="G53" s="1939"/>
      <c r="H53" s="3217" t="s">
        <v>88</v>
      </c>
      <c r="I53" s="3218"/>
      <c r="K53" s="210">
        <v>3</v>
      </c>
      <c r="L53" s="2000" t="s">
        <v>770</v>
      </c>
      <c r="M53" s="3216" t="s">
        <v>812</v>
      </c>
      <c r="N53" s="3216"/>
      <c r="O53" s="3216"/>
      <c r="P53" s="3002"/>
      <c r="Q53" s="1939"/>
      <c r="R53" s="3217" t="s">
        <v>88</v>
      </c>
      <c r="S53" s="3218"/>
      <c r="U53" s="3216" t="s">
        <v>506</v>
      </c>
      <c r="V53" s="3216"/>
      <c r="W53" s="3216"/>
      <c r="X53" s="1937"/>
      <c r="Y53" s="1939"/>
      <c r="Z53" s="3217" t="s">
        <v>88</v>
      </c>
      <c r="AA53" s="3218"/>
    </row>
    <row r="54" spans="1:27" ht="15" hidden="1" customHeight="1" x14ac:dyDescent="0.2">
      <c r="A54" s="212"/>
      <c r="B54" s="590" t="s">
        <v>89</v>
      </c>
      <c r="C54" s="590" t="s">
        <v>54</v>
      </c>
      <c r="D54" s="590" t="s">
        <v>91</v>
      </c>
      <c r="E54" s="590" t="s">
        <v>105</v>
      </c>
      <c r="F54" s="590" t="s">
        <v>106</v>
      </c>
      <c r="G54" s="1766"/>
      <c r="H54" s="1831" t="s">
        <v>54</v>
      </c>
      <c r="I54" s="1832" t="s">
        <v>502</v>
      </c>
      <c r="K54" s="212"/>
      <c r="L54" s="590" t="s">
        <v>89</v>
      </c>
      <c r="M54" s="590" t="s">
        <v>54</v>
      </c>
      <c r="N54" s="2576" t="s">
        <v>91</v>
      </c>
      <c r="O54" s="590" t="s">
        <v>105</v>
      </c>
      <c r="P54" s="590" t="s">
        <v>106</v>
      </c>
      <c r="Q54" s="1766"/>
      <c r="R54" s="1831" t="s">
        <v>54</v>
      </c>
      <c r="S54" s="1832" t="s">
        <v>502</v>
      </c>
      <c r="U54" s="590" t="s">
        <v>90</v>
      </c>
      <c r="V54" s="590" t="s">
        <v>91</v>
      </c>
      <c r="W54" s="1830" t="s">
        <v>507</v>
      </c>
      <c r="X54" s="590"/>
      <c r="Y54" s="1766"/>
      <c r="Z54" s="1831" t="s">
        <v>54</v>
      </c>
      <c r="AA54" s="1832" t="s">
        <v>507</v>
      </c>
    </row>
    <row r="55" spans="1:27" ht="12.75" hidden="1" customHeight="1" x14ac:dyDescent="0.2">
      <c r="A55" s="252"/>
      <c r="B55" s="1899" t="s">
        <v>107</v>
      </c>
      <c r="C55" s="1505"/>
      <c r="D55" s="1899"/>
      <c r="E55" s="1899"/>
      <c r="F55" s="1899"/>
      <c r="G55" s="1766"/>
      <c r="H55" s="1942"/>
      <c r="I55" s="1956"/>
      <c r="K55" s="252"/>
      <c r="L55" s="1899" t="s">
        <v>756</v>
      </c>
      <c r="M55" s="1505">
        <v>0.5</v>
      </c>
      <c r="N55" s="1743"/>
      <c r="O55" s="1899"/>
      <c r="P55" s="1899"/>
      <c r="Q55" s="1766"/>
      <c r="R55" s="1942"/>
      <c r="S55" s="1956"/>
      <c r="U55" s="1727">
        <f>M55-C55</f>
        <v>0.5</v>
      </c>
      <c r="V55" s="1727">
        <f t="shared" ref="V55:X58" si="12">N55-D55</f>
        <v>0</v>
      </c>
      <c r="W55" s="1727">
        <f t="shared" si="12"/>
        <v>0</v>
      </c>
      <c r="X55" s="1727">
        <f t="shared" si="12"/>
        <v>0</v>
      </c>
      <c r="Y55" s="1728">
        <f>Q55-D55</f>
        <v>0</v>
      </c>
      <c r="Z55" s="1727">
        <f t="shared" ref="Z55:AA58" si="13">R55-H55</f>
        <v>0</v>
      </c>
      <c r="AA55" s="1727">
        <f t="shared" si="13"/>
        <v>0</v>
      </c>
    </row>
    <row r="56" spans="1:27" ht="12.75" hidden="1" customHeight="1" x14ac:dyDescent="0.2">
      <c r="A56" s="252"/>
      <c r="B56" s="2002" t="s">
        <v>72</v>
      </c>
      <c r="C56" s="2548"/>
      <c r="D56" s="2548"/>
      <c r="E56" s="2548"/>
      <c r="F56" s="1903"/>
      <c r="G56" s="1766"/>
      <c r="H56" s="1942"/>
      <c r="I56" s="1956"/>
      <c r="K56" s="252"/>
      <c r="L56" s="2002" t="s">
        <v>771</v>
      </c>
      <c r="M56" s="1903">
        <v>10</v>
      </c>
      <c r="N56" s="2586">
        <f>2000*$J$1</f>
        <v>7600</v>
      </c>
      <c r="O56" s="2548">
        <f>M56*N56</f>
        <v>76000</v>
      </c>
      <c r="P56" s="1903"/>
      <c r="Q56" s="1766"/>
      <c r="R56" s="1942"/>
      <c r="S56" s="1956"/>
      <c r="U56" s="1727">
        <f>M56-C56</f>
        <v>10</v>
      </c>
      <c r="V56" s="1727">
        <f t="shared" si="12"/>
        <v>7600</v>
      </c>
      <c r="W56" s="1727">
        <f t="shared" si="12"/>
        <v>76000</v>
      </c>
      <c r="X56" s="1727">
        <f t="shared" si="12"/>
        <v>0</v>
      </c>
      <c r="Y56" s="1728">
        <f>Q56-D56</f>
        <v>0</v>
      </c>
      <c r="Z56" s="1727">
        <f t="shared" si="13"/>
        <v>0</v>
      </c>
      <c r="AA56" s="1727">
        <f t="shared" si="13"/>
        <v>0</v>
      </c>
    </row>
    <row r="57" spans="1:27" ht="25.5" hidden="1" customHeight="1" x14ac:dyDescent="0.2">
      <c r="A57" s="252"/>
      <c r="B57" s="2002" t="s">
        <v>109</v>
      </c>
      <c r="C57" s="1903"/>
      <c r="D57" s="2509"/>
      <c r="E57" s="2564"/>
      <c r="F57" s="1903"/>
      <c r="G57" s="1766"/>
      <c r="H57" s="1942"/>
      <c r="I57" s="1956"/>
      <c r="K57" s="252"/>
      <c r="L57" s="2002" t="s">
        <v>109</v>
      </c>
      <c r="M57" s="1903">
        <v>10</v>
      </c>
      <c r="N57" s="2586">
        <f>2000*$J$1</f>
        <v>7600</v>
      </c>
      <c r="O57" s="2548">
        <f>M57*N57</f>
        <v>76000</v>
      </c>
      <c r="P57" s="1903"/>
      <c r="Q57" s="1766"/>
      <c r="R57" s="1942"/>
      <c r="S57" s="1956"/>
      <c r="U57" s="1727">
        <f>M57-C57</f>
        <v>10</v>
      </c>
      <c r="V57" s="1727">
        <f t="shared" si="12"/>
        <v>7600</v>
      </c>
      <c r="W57" s="1727">
        <f t="shared" si="12"/>
        <v>76000</v>
      </c>
      <c r="X57" s="1727">
        <f>P57-F57</f>
        <v>0</v>
      </c>
      <c r="Y57" s="1728">
        <f>Q57-D57</f>
        <v>0</v>
      </c>
      <c r="Z57" s="1727">
        <f t="shared" si="13"/>
        <v>0</v>
      </c>
      <c r="AA57" s="1727">
        <f t="shared" si="13"/>
        <v>0</v>
      </c>
    </row>
    <row r="58" spans="1:27" ht="26.25" hidden="1" customHeight="1" thickBot="1" x14ac:dyDescent="0.25">
      <c r="A58" s="252"/>
      <c r="B58" s="2002" t="s">
        <v>110</v>
      </c>
      <c r="C58" s="1903"/>
      <c r="D58" s="1903"/>
      <c r="E58" s="1903"/>
      <c r="F58" s="1903"/>
      <c r="G58" s="1766"/>
      <c r="H58" s="1942"/>
      <c r="I58" s="1956"/>
      <c r="K58" s="252"/>
      <c r="L58" s="2002" t="s">
        <v>110</v>
      </c>
      <c r="M58" s="1903">
        <f>M56</f>
        <v>10</v>
      </c>
      <c r="N58" s="2589">
        <f>100*$J$1</f>
        <v>380</v>
      </c>
      <c r="O58" s="2548">
        <f>M58*N58</f>
        <v>3800</v>
      </c>
      <c r="P58" s="1903"/>
      <c r="Q58" s="1766"/>
      <c r="R58" s="1942"/>
      <c r="S58" s="1956"/>
      <c r="U58" s="1727">
        <f>M58-C58</f>
        <v>10</v>
      </c>
      <c r="V58" s="1727">
        <f t="shared" si="12"/>
        <v>380</v>
      </c>
      <c r="W58" s="1727">
        <f t="shared" si="12"/>
        <v>3800</v>
      </c>
      <c r="X58" s="1727">
        <f t="shared" si="12"/>
        <v>0</v>
      </c>
      <c r="Y58" s="1728">
        <f>Q58-D58</f>
        <v>0</v>
      </c>
      <c r="Z58" s="1727">
        <f t="shared" si="13"/>
        <v>0</v>
      </c>
      <c r="AA58" s="1727">
        <f t="shared" si="13"/>
        <v>0</v>
      </c>
    </row>
    <row r="59" spans="1:27" ht="13.5" hidden="1" customHeight="1" thickBot="1" x14ac:dyDescent="0.25">
      <c r="A59" s="200"/>
      <c r="B59" s="2561" t="s">
        <v>13</v>
      </c>
      <c r="C59" s="2026"/>
      <c r="D59" s="2026"/>
      <c r="E59" s="1864">
        <f>SUM(E56:E58)</f>
        <v>0</v>
      </c>
      <c r="F59" s="1864">
        <f>SUM(F56:F58)</f>
        <v>0</v>
      </c>
      <c r="G59" s="1864">
        <f>SUM(G56:G58)</f>
        <v>0</v>
      </c>
      <c r="H59" s="1864">
        <f>SUM(H56:H58)</f>
        <v>0</v>
      </c>
      <c r="I59" s="2028">
        <f>SUM(I56:I58)</f>
        <v>0</v>
      </c>
      <c r="K59" s="2562"/>
      <c r="L59" s="2561" t="s">
        <v>13</v>
      </c>
      <c r="M59" s="2026"/>
      <c r="N59" s="2988"/>
      <c r="O59" s="1864"/>
      <c r="P59" s="1864">
        <f>SUM(P56:P58)</f>
        <v>0</v>
      </c>
      <c r="Q59" s="1864">
        <f>SUM(Q56:Q58)</f>
        <v>0</v>
      </c>
      <c r="R59" s="1864">
        <f>SUM(R56:R58)</f>
        <v>0</v>
      </c>
      <c r="S59" s="2028">
        <f>SUM(S56:S58)</f>
        <v>0</v>
      </c>
      <c r="U59" s="1879"/>
      <c r="V59" s="1879"/>
      <c r="W59" s="1782">
        <f>SUM(W56:W58)</f>
        <v>155800</v>
      </c>
      <c r="X59" s="1782">
        <f>SUM(X56:X58)</f>
        <v>0</v>
      </c>
      <c r="Y59" s="1782">
        <f>SUM(Y56:Y58)</f>
        <v>0</v>
      </c>
      <c r="Z59" s="1782">
        <f>SUM(Z56:Z58)</f>
        <v>0</v>
      </c>
      <c r="AA59" s="1782">
        <f>SUM(AA56:AA58)</f>
        <v>0</v>
      </c>
    </row>
    <row r="60" spans="1:27" ht="12.75" hidden="1" customHeight="1" x14ac:dyDescent="0.2">
      <c r="A60" s="1731"/>
      <c r="D60" s="1881"/>
      <c r="E60" s="1994"/>
      <c r="F60" s="1994"/>
      <c r="L60" s="1731" t="s">
        <v>896</v>
      </c>
      <c r="N60" s="2590"/>
      <c r="O60" s="1994"/>
      <c r="P60" s="1994"/>
    </row>
    <row r="61" spans="1:27" x14ac:dyDescent="0.2">
      <c r="A61" s="1731"/>
      <c r="D61" s="1881"/>
      <c r="E61" s="1994"/>
      <c r="F61" s="1994"/>
      <c r="L61" s="303"/>
      <c r="N61" s="2590"/>
      <c r="O61" s="1994"/>
      <c r="P61" s="1994"/>
    </row>
    <row r="62" spans="1:27" hidden="1" x14ac:dyDescent="0.2">
      <c r="A62" s="1731"/>
      <c r="B62" s="2558" t="s">
        <v>690</v>
      </c>
      <c r="C62" s="3252" t="s">
        <v>642</v>
      </c>
      <c r="D62" s="3252"/>
      <c r="E62" s="3252"/>
      <c r="F62" s="1937"/>
      <c r="G62" s="1938"/>
      <c r="H62" s="3217" t="s">
        <v>88</v>
      </c>
      <c r="I62" s="3218"/>
      <c r="K62" s="2995"/>
      <c r="L62" s="2557" t="s">
        <v>690</v>
      </c>
      <c r="M62" s="3216" t="s">
        <v>812</v>
      </c>
      <c r="N62" s="3216"/>
      <c r="O62" s="3216"/>
      <c r="P62" s="2981"/>
      <c r="Q62" s="1938"/>
      <c r="R62" s="3217" t="s">
        <v>88</v>
      </c>
      <c r="S62" s="3218"/>
      <c r="U62" s="3216" t="s">
        <v>506</v>
      </c>
      <c r="V62" s="3216"/>
      <c r="W62" s="3216"/>
      <c r="X62" s="1937"/>
      <c r="Y62" s="1939"/>
      <c r="Z62" s="3217" t="s">
        <v>88</v>
      </c>
      <c r="AA62" s="3218"/>
    </row>
    <row r="63" spans="1:27" ht="38.25" hidden="1" x14ac:dyDescent="0.2">
      <c r="A63" s="1731"/>
      <c r="B63" s="1831" t="s">
        <v>89</v>
      </c>
      <c r="C63" s="590" t="s">
        <v>54</v>
      </c>
      <c r="D63" s="590" t="s">
        <v>91</v>
      </c>
      <c r="E63" s="590" t="s">
        <v>92</v>
      </c>
      <c r="F63" s="1829"/>
      <c r="G63" s="1766"/>
      <c r="H63" s="1831" t="s">
        <v>54</v>
      </c>
      <c r="I63" s="1832" t="s">
        <v>502</v>
      </c>
      <c r="K63" s="2996"/>
      <c r="L63" s="1831" t="s">
        <v>89</v>
      </c>
      <c r="M63" s="590" t="s">
        <v>54</v>
      </c>
      <c r="N63" s="2576" t="s">
        <v>91</v>
      </c>
      <c r="O63" s="590" t="s">
        <v>92</v>
      </c>
      <c r="P63" s="1829"/>
      <c r="Q63" s="1766"/>
      <c r="R63" s="1831" t="s">
        <v>54</v>
      </c>
      <c r="S63" s="1832" t="s">
        <v>502</v>
      </c>
      <c r="U63" s="590" t="s">
        <v>90</v>
      </c>
      <c r="V63" s="590" t="s">
        <v>91</v>
      </c>
      <c r="W63" s="1830" t="s">
        <v>507</v>
      </c>
      <c r="X63" s="590"/>
      <c r="Y63" s="1766"/>
      <c r="Z63" s="1831" t="s">
        <v>54</v>
      </c>
      <c r="AA63" s="1832" t="s">
        <v>507</v>
      </c>
    </row>
    <row r="64" spans="1:27" hidden="1" x14ac:dyDescent="0.2">
      <c r="A64" s="1731"/>
      <c r="B64" s="2010" t="s">
        <v>691</v>
      </c>
      <c r="C64" s="2548">
        <v>7</v>
      </c>
      <c r="D64" s="2548"/>
      <c r="E64" s="2548"/>
      <c r="F64" s="2549"/>
      <c r="G64" s="1766"/>
      <c r="H64" s="1767"/>
      <c r="I64" s="1768"/>
      <c r="K64" s="2996"/>
      <c r="L64" s="2010"/>
      <c r="M64" s="2548"/>
      <c r="N64" s="2585"/>
      <c r="O64" s="2548"/>
      <c r="P64" s="2549"/>
      <c r="Q64" s="1766"/>
      <c r="R64" s="1767"/>
      <c r="S64" s="1768"/>
      <c r="U64" s="1727">
        <f>M64-C64</f>
        <v>-7</v>
      </c>
      <c r="V64" s="1727">
        <f t="shared" ref="V64:X68" si="14">N64-D64</f>
        <v>0</v>
      </c>
      <c r="W64" s="1727">
        <f t="shared" si="14"/>
        <v>0</v>
      </c>
      <c r="X64" s="1727">
        <f t="shared" si="14"/>
        <v>0</v>
      </c>
      <c r="Y64" s="1766"/>
      <c r="Z64" s="1727">
        <f t="shared" ref="Z64:AA68" si="15">R64-H64</f>
        <v>0</v>
      </c>
      <c r="AA64" s="1727">
        <f t="shared" si="15"/>
        <v>0</v>
      </c>
    </row>
    <row r="65" spans="1:27" ht="25.5" hidden="1" x14ac:dyDescent="0.2">
      <c r="A65" s="1731"/>
      <c r="B65" s="1763" t="s">
        <v>692</v>
      </c>
      <c r="C65" s="2565">
        <v>7</v>
      </c>
      <c r="D65" s="2565">
        <v>830</v>
      </c>
      <c r="E65" s="2548">
        <f>C65*D65</f>
        <v>5810</v>
      </c>
      <c r="F65" s="2549"/>
      <c r="G65" s="1766"/>
      <c r="H65" s="2549"/>
      <c r="I65" s="2549"/>
      <c r="K65" s="2996"/>
      <c r="L65" s="1763"/>
      <c r="M65" s="2565"/>
      <c r="N65" s="2591"/>
      <c r="O65" s="2548"/>
      <c r="P65" s="2549"/>
      <c r="Q65" s="1766"/>
      <c r="R65" s="2549"/>
      <c r="S65" s="2986"/>
      <c r="U65" s="1727">
        <f>M65-C65</f>
        <v>-7</v>
      </c>
      <c r="V65" s="1727">
        <f t="shared" si="14"/>
        <v>-830</v>
      </c>
      <c r="W65" s="1727">
        <f t="shared" si="14"/>
        <v>-5810</v>
      </c>
      <c r="X65" s="1727">
        <f t="shared" si="14"/>
        <v>0</v>
      </c>
      <c r="Y65" s="1766"/>
      <c r="Z65" s="1727">
        <f t="shared" si="15"/>
        <v>0</v>
      </c>
      <c r="AA65" s="1727">
        <f t="shared" si="15"/>
        <v>0</v>
      </c>
    </row>
    <row r="66" spans="1:27" hidden="1" x14ac:dyDescent="0.2">
      <c r="A66" s="1731"/>
      <c r="B66" s="1884" t="s">
        <v>693</v>
      </c>
      <c r="C66" s="2565">
        <v>7</v>
      </c>
      <c r="D66" s="2565">
        <v>20312.7</v>
      </c>
      <c r="E66" s="2548">
        <f>C66*D66</f>
        <v>142188.9</v>
      </c>
      <c r="F66" s="2549"/>
      <c r="G66" s="1766"/>
      <c r="H66" s="2549"/>
      <c r="I66" s="2549"/>
      <c r="K66" s="2996"/>
      <c r="L66" s="1884"/>
      <c r="M66" s="2565"/>
      <c r="N66" s="2591"/>
      <c r="O66" s="2548"/>
      <c r="P66" s="2549"/>
      <c r="Q66" s="1766"/>
      <c r="R66" s="2549"/>
      <c r="S66" s="2986"/>
      <c r="U66" s="1727">
        <f>M66-C66</f>
        <v>-7</v>
      </c>
      <c r="V66" s="1727">
        <f t="shared" si="14"/>
        <v>-20312.7</v>
      </c>
      <c r="W66" s="1727">
        <f t="shared" si="14"/>
        <v>-142188.9</v>
      </c>
      <c r="X66" s="1727">
        <f t="shared" si="14"/>
        <v>0</v>
      </c>
      <c r="Y66" s="1766"/>
      <c r="Z66" s="1727">
        <f t="shared" si="15"/>
        <v>0</v>
      </c>
      <c r="AA66" s="1727">
        <f t="shared" si="15"/>
        <v>0</v>
      </c>
    </row>
    <row r="67" spans="1:27" hidden="1" x14ac:dyDescent="0.2">
      <c r="A67" s="1731"/>
      <c r="B67" s="1884" t="s">
        <v>684</v>
      </c>
      <c r="C67" s="2565">
        <v>7</v>
      </c>
      <c r="D67" s="2565">
        <v>-10156</v>
      </c>
      <c r="E67" s="2548">
        <f>C67*D67</f>
        <v>-71092</v>
      </c>
      <c r="F67" s="2549"/>
      <c r="G67" s="1766"/>
      <c r="H67" s="2549"/>
      <c r="I67" s="2549"/>
      <c r="K67" s="2996"/>
      <c r="L67" s="1884"/>
      <c r="M67" s="2565"/>
      <c r="N67" s="2591"/>
      <c r="O67" s="2548"/>
      <c r="P67" s="2549"/>
      <c r="Q67" s="1766"/>
      <c r="R67" s="2549"/>
      <c r="S67" s="2986"/>
      <c r="U67" s="1727">
        <f>M67-C67</f>
        <v>-7</v>
      </c>
      <c r="V67" s="1727">
        <f t="shared" si="14"/>
        <v>10156</v>
      </c>
      <c r="W67" s="1727">
        <f t="shared" si="14"/>
        <v>71092</v>
      </c>
      <c r="X67" s="1727">
        <f t="shared" si="14"/>
        <v>0</v>
      </c>
      <c r="Y67" s="1766"/>
      <c r="Z67" s="1727">
        <f t="shared" si="15"/>
        <v>0</v>
      </c>
      <c r="AA67" s="1727">
        <f t="shared" si="15"/>
        <v>0</v>
      </c>
    </row>
    <row r="68" spans="1:27" hidden="1" x14ac:dyDescent="0.2">
      <c r="A68" s="1731"/>
      <c r="B68" s="1763" t="s">
        <v>694</v>
      </c>
      <c r="C68" s="2565">
        <v>7</v>
      </c>
      <c r="D68" s="2565">
        <v>1660</v>
      </c>
      <c r="E68" s="2548">
        <f>C68*D68</f>
        <v>11620</v>
      </c>
      <c r="F68" s="2549"/>
      <c r="G68" s="1766"/>
      <c r="H68" s="2549"/>
      <c r="I68" s="2549"/>
      <c r="K68" s="2996"/>
      <c r="L68" s="1763"/>
      <c r="M68" s="2565"/>
      <c r="N68" s="2591"/>
      <c r="O68" s="2548"/>
      <c r="P68" s="2549"/>
      <c r="Q68" s="1766"/>
      <c r="R68" s="2549"/>
      <c r="S68" s="2986"/>
      <c r="U68" s="1727">
        <f>M68-C68</f>
        <v>-7</v>
      </c>
      <c r="V68" s="1727">
        <f t="shared" si="14"/>
        <v>-1660</v>
      </c>
      <c r="W68" s="1727">
        <f t="shared" si="14"/>
        <v>-11620</v>
      </c>
      <c r="X68" s="1727">
        <f t="shared" si="14"/>
        <v>0</v>
      </c>
      <c r="Y68" s="1766"/>
      <c r="Z68" s="1727">
        <f t="shared" si="15"/>
        <v>0</v>
      </c>
      <c r="AA68" s="1727">
        <f t="shared" si="15"/>
        <v>0</v>
      </c>
    </row>
    <row r="69" spans="1:27" ht="13.5" hidden="1" thickBot="1" x14ac:dyDescent="0.25">
      <c r="A69" s="1731"/>
      <c r="B69" s="2123" t="s">
        <v>13</v>
      </c>
      <c r="C69" s="1879"/>
      <c r="D69" s="1879"/>
      <c r="E69" s="1779">
        <f>SUM(E65:E68)</f>
        <v>88526.9</v>
      </c>
      <c r="F69" s="1779">
        <f>SUM(F65:F68)</f>
        <v>0</v>
      </c>
      <c r="G69" s="1779">
        <f>SUM(G65:G68)</f>
        <v>0</v>
      </c>
      <c r="H69" s="1779">
        <f>SUM(H65:H68)</f>
        <v>0</v>
      </c>
      <c r="I69" s="1779">
        <f>SUM(I65:I68)</f>
        <v>0</v>
      </c>
      <c r="J69" s="1726"/>
      <c r="K69" s="2987"/>
      <c r="L69" s="2561" t="s">
        <v>13</v>
      </c>
      <c r="M69" s="2026"/>
      <c r="N69" s="2988"/>
      <c r="O69" s="1896">
        <f>SUM(O65:O68)</f>
        <v>0</v>
      </c>
      <c r="P69" s="1896">
        <f>SUM(P65:P68)</f>
        <v>0</v>
      </c>
      <c r="Q69" s="1896">
        <f>SUM(Q65:Q68)</f>
        <v>0</v>
      </c>
      <c r="R69" s="1896">
        <f>SUM(R65:R68)</f>
        <v>0</v>
      </c>
      <c r="S69" s="1898">
        <f>SUM(S65:S68)</f>
        <v>0</v>
      </c>
      <c r="U69" s="1779">
        <f>SUM(U65:U68)</f>
        <v>-28</v>
      </c>
      <c r="V69" s="1779">
        <f t="shared" ref="V69:AA69" si="16">SUM(V65:V68)</f>
        <v>-12646.7</v>
      </c>
      <c r="W69" s="1779">
        <f t="shared" si="16"/>
        <v>-88526.9</v>
      </c>
      <c r="X69" s="1779">
        <f t="shared" si="16"/>
        <v>0</v>
      </c>
      <c r="Y69" s="1779">
        <f t="shared" si="16"/>
        <v>0</v>
      </c>
      <c r="Z69" s="1779">
        <f t="shared" si="16"/>
        <v>0</v>
      </c>
      <c r="AA69" s="1779">
        <f t="shared" si="16"/>
        <v>0</v>
      </c>
    </row>
    <row r="70" spans="1:27" ht="13.5" hidden="1" thickBot="1" x14ac:dyDescent="0.25">
      <c r="A70" s="1731"/>
      <c r="B70" s="1731"/>
    </row>
    <row r="71" spans="1:27" hidden="1" x14ac:dyDescent="0.2">
      <c r="A71" s="1731"/>
      <c r="B71" s="2566" t="s">
        <v>695</v>
      </c>
      <c r="C71" s="2567"/>
      <c r="D71" s="2853">
        <f>E71/15</f>
        <v>11348.46</v>
      </c>
      <c r="E71" s="2852">
        <f>E69+E41</f>
        <v>170226.9</v>
      </c>
      <c r="F71" s="2568"/>
    </row>
    <row r="72" spans="1:27" ht="13.5" thickBot="1" x14ac:dyDescent="0.25">
      <c r="A72" s="1731"/>
      <c r="B72" s="289"/>
      <c r="C72" s="1971"/>
    </row>
    <row r="73" spans="1:27" ht="15" customHeight="1" x14ac:dyDescent="0.2">
      <c r="A73" s="1731"/>
      <c r="B73" s="2558" t="s">
        <v>696</v>
      </c>
      <c r="C73" s="3252" t="s">
        <v>642</v>
      </c>
      <c r="D73" s="3252"/>
      <c r="E73" s="3252"/>
      <c r="F73" s="1937"/>
      <c r="G73" s="1938"/>
      <c r="H73" s="3217" t="s">
        <v>88</v>
      </c>
      <c r="I73" s="3218"/>
      <c r="K73" s="2995"/>
      <c r="L73" s="2557" t="s">
        <v>696</v>
      </c>
      <c r="M73" s="3216" t="s">
        <v>812</v>
      </c>
      <c r="N73" s="3216"/>
      <c r="O73" s="3216"/>
      <c r="P73" s="2981"/>
      <c r="Q73" s="1938"/>
      <c r="R73" s="3217" t="s">
        <v>88</v>
      </c>
      <c r="S73" s="3218"/>
      <c r="U73" s="3216" t="s">
        <v>506</v>
      </c>
      <c r="V73" s="3216"/>
      <c r="W73" s="3216"/>
      <c r="X73" s="1937"/>
      <c r="Y73" s="1939"/>
      <c r="Z73" s="3217" t="s">
        <v>88</v>
      </c>
      <c r="AA73" s="3218"/>
    </row>
    <row r="74" spans="1:27" ht="38.25" x14ac:dyDescent="0.2">
      <c r="A74" s="1731"/>
      <c r="B74" s="1831" t="s">
        <v>89</v>
      </c>
      <c r="C74" s="1831" t="s">
        <v>54</v>
      </c>
      <c r="D74" s="590" t="s">
        <v>91</v>
      </c>
      <c r="E74" s="590" t="s">
        <v>92</v>
      </c>
      <c r="F74" s="1829"/>
      <c r="G74" s="1766"/>
      <c r="H74" s="1831" t="s">
        <v>54</v>
      </c>
      <c r="I74" s="1832" t="s">
        <v>502</v>
      </c>
      <c r="K74" s="2996"/>
      <c r="L74" s="1831" t="s">
        <v>89</v>
      </c>
      <c r="M74" s="1831" t="s">
        <v>54</v>
      </c>
      <c r="N74" s="2576" t="s">
        <v>91</v>
      </c>
      <c r="O74" s="590" t="s">
        <v>92</v>
      </c>
      <c r="P74" s="1829"/>
      <c r="Q74" s="1766"/>
      <c r="R74" s="1831" t="s">
        <v>54</v>
      </c>
      <c r="S74" s="1832" t="s">
        <v>502</v>
      </c>
      <c r="U74" s="590" t="s">
        <v>90</v>
      </c>
      <c r="V74" s="590" t="s">
        <v>91</v>
      </c>
      <c r="W74" s="1830" t="s">
        <v>507</v>
      </c>
      <c r="X74" s="590"/>
      <c r="Y74" s="1766"/>
      <c r="Z74" s="1831" t="s">
        <v>54</v>
      </c>
      <c r="AA74" s="1832" t="s">
        <v>507</v>
      </c>
    </row>
    <row r="75" spans="1:27" ht="76.5" x14ac:dyDescent="0.2">
      <c r="A75" s="1731"/>
      <c r="B75" s="1819" t="s">
        <v>845</v>
      </c>
      <c r="C75" s="2823">
        <v>1</v>
      </c>
      <c r="D75" s="2569">
        <f>750*$J$1*3+2500*$J$1*1+100*$J$1*10</f>
        <v>21850</v>
      </c>
      <c r="E75" s="2548">
        <f>C75*D75</f>
        <v>21850</v>
      </c>
      <c r="F75" s="2549"/>
      <c r="G75" s="1766"/>
      <c r="H75" s="1767"/>
      <c r="I75" s="1768"/>
      <c r="K75" s="2996"/>
      <c r="L75" s="1773" t="s">
        <v>844</v>
      </c>
      <c r="M75" s="2982">
        <v>2.1</v>
      </c>
      <c r="N75" s="2592">
        <f>O75/M75</f>
        <v>21714.285714285714</v>
      </c>
      <c r="O75" s="2531">
        <v>45600</v>
      </c>
      <c r="P75" s="2549"/>
      <c r="Q75" s="1766"/>
      <c r="R75" s="1767"/>
      <c r="S75" s="1768"/>
      <c r="U75" s="1727">
        <f>M75-C75</f>
        <v>1.1000000000000001</v>
      </c>
      <c r="V75" s="1727">
        <f t="shared" ref="V75:X76" si="17">N75-D75</f>
        <v>-135.71428571428623</v>
      </c>
      <c r="W75" s="1727">
        <f t="shared" si="17"/>
        <v>23750</v>
      </c>
      <c r="X75" s="1727">
        <f t="shared" si="17"/>
        <v>0</v>
      </c>
      <c r="Y75" s="1728"/>
      <c r="Z75" s="1727">
        <f>R75-H75</f>
        <v>0</v>
      </c>
      <c r="AA75" s="1727">
        <f>S75-I75</f>
        <v>0</v>
      </c>
    </row>
    <row r="76" spans="1:27" ht="25.5" x14ac:dyDescent="0.2">
      <c r="A76" s="1731"/>
      <c r="B76" s="1819" t="s">
        <v>697</v>
      </c>
      <c r="C76" s="2569"/>
      <c r="D76" s="2569"/>
      <c r="E76" s="2548">
        <f>C76*D76</f>
        <v>0</v>
      </c>
      <c r="F76" s="2549"/>
      <c r="G76" s="1766"/>
      <c r="H76" s="2549"/>
      <c r="I76" s="2549"/>
      <c r="K76" s="2996"/>
      <c r="L76" s="1819" t="s">
        <v>697</v>
      </c>
      <c r="M76" s="2982">
        <v>2</v>
      </c>
      <c r="N76" s="2514">
        <f>(1250+60*5+250*4)*$J$1</f>
        <v>9690</v>
      </c>
      <c r="O76" s="2531">
        <f>M76*N76</f>
        <v>19380</v>
      </c>
      <c r="P76" s="2549"/>
      <c r="Q76" s="1766"/>
      <c r="R76" s="2549"/>
      <c r="S76" s="2986"/>
      <c r="U76" s="1727">
        <f>M76-C76</f>
        <v>2</v>
      </c>
      <c r="V76" s="1727">
        <f t="shared" si="17"/>
        <v>9690</v>
      </c>
      <c r="W76" s="1727">
        <f t="shared" si="17"/>
        <v>19380</v>
      </c>
      <c r="X76" s="1727">
        <f t="shared" si="17"/>
        <v>0</v>
      </c>
      <c r="Y76" s="1728"/>
      <c r="Z76" s="1727">
        <f>R76-H76</f>
        <v>0</v>
      </c>
      <c r="AA76" s="1727">
        <f>S76-I76</f>
        <v>0</v>
      </c>
    </row>
    <row r="77" spans="1:27" ht="13.5" thickBot="1" x14ac:dyDescent="0.25">
      <c r="A77" s="1731"/>
      <c r="B77" s="2123" t="s">
        <v>13</v>
      </c>
      <c r="C77" s="1879"/>
      <c r="D77" s="1879"/>
      <c r="E77" s="1782">
        <f>SUM(E75:E76)</f>
        <v>21850</v>
      </c>
      <c r="F77" s="1782">
        <f>SUM(F75:F76)</f>
        <v>0</v>
      </c>
      <c r="G77" s="1782">
        <f>SUM(G75:G76)</f>
        <v>0</v>
      </c>
      <c r="H77" s="1782">
        <f>SUM(H75:H76)</f>
        <v>0</v>
      </c>
      <c r="I77" s="1782">
        <f>SUM(I75:I76)</f>
        <v>0</v>
      </c>
      <c r="K77" s="2987"/>
      <c r="L77" s="2561" t="s">
        <v>13</v>
      </c>
      <c r="M77" s="2026"/>
      <c r="N77" s="2988"/>
      <c r="O77" s="1864">
        <f>SUM(O75:O76)</f>
        <v>64980</v>
      </c>
      <c r="P77" s="1864">
        <f>SUM(P75:P76)</f>
        <v>0</v>
      </c>
      <c r="Q77" s="1864">
        <f>SUM(Q75:Q76)</f>
        <v>0</v>
      </c>
      <c r="R77" s="1864">
        <f>SUM(R75:R76)</f>
        <v>0</v>
      </c>
      <c r="S77" s="2028">
        <f>SUM(S75:S76)</f>
        <v>0</v>
      </c>
      <c r="U77" s="1879"/>
      <c r="V77" s="1879"/>
      <c r="W77" s="1782">
        <f>SUM(W75:W76)</f>
        <v>43130</v>
      </c>
      <c r="X77" s="1782">
        <f>SUM(X75:X76)</f>
        <v>0</v>
      </c>
      <c r="Y77" s="1782">
        <f>SUM(Y75:Y76)</f>
        <v>0</v>
      </c>
      <c r="Z77" s="1782">
        <f>SUM(Z75:Z76)</f>
        <v>0</v>
      </c>
      <c r="AA77" s="1782">
        <f>SUM(AA75:AA76)</f>
        <v>0</v>
      </c>
    </row>
    <row r="78" spans="1:27" x14ac:dyDescent="0.2">
      <c r="A78" s="1731"/>
      <c r="B78" s="2570"/>
      <c r="L78" s="2974" t="s">
        <v>889</v>
      </c>
      <c r="O78" s="1930">
        <v>0</v>
      </c>
    </row>
    <row r="79" spans="1:27" x14ac:dyDescent="0.2">
      <c r="A79" s="1731"/>
      <c r="B79" s="1731"/>
    </row>
    <row r="80" spans="1:27" ht="13.5" thickBot="1" x14ac:dyDescent="0.25">
      <c r="A80" s="1731"/>
      <c r="B80" s="1731"/>
      <c r="F80" s="2105"/>
    </row>
    <row r="81" spans="1:27" x14ac:dyDescent="0.2">
      <c r="A81" s="1731"/>
      <c r="B81" s="2558" t="s">
        <v>698</v>
      </c>
      <c r="C81" s="3252" t="s">
        <v>642</v>
      </c>
      <c r="D81" s="3252"/>
      <c r="E81" s="3252"/>
      <c r="F81" s="1937"/>
      <c r="G81" s="1938"/>
      <c r="H81" s="3217" t="s">
        <v>88</v>
      </c>
      <c r="I81" s="3218"/>
      <c r="K81" s="2995"/>
      <c r="L81" s="2557" t="s">
        <v>698</v>
      </c>
      <c r="M81" s="3216" t="s">
        <v>812</v>
      </c>
      <c r="N81" s="3216"/>
      <c r="O81" s="3216"/>
      <c r="P81" s="2981"/>
      <c r="Q81" s="1938"/>
      <c r="R81" s="3217" t="s">
        <v>88</v>
      </c>
      <c r="S81" s="3218"/>
      <c r="U81" s="3216" t="s">
        <v>506</v>
      </c>
      <c r="V81" s="3216"/>
      <c r="W81" s="3216"/>
      <c r="X81" s="1937"/>
      <c r="Y81" s="1939"/>
      <c r="Z81" s="3217" t="s">
        <v>88</v>
      </c>
      <c r="AA81" s="3218"/>
    </row>
    <row r="82" spans="1:27" ht="38.25" x14ac:dyDescent="0.2">
      <c r="A82" s="1731"/>
      <c r="B82" s="1831" t="s">
        <v>89</v>
      </c>
      <c r="C82" s="1831" t="s">
        <v>54</v>
      </c>
      <c r="D82" s="590" t="s">
        <v>91</v>
      </c>
      <c r="E82" s="590" t="s">
        <v>92</v>
      </c>
      <c r="F82" s="1829"/>
      <c r="G82" s="1766"/>
      <c r="H82" s="1831" t="s">
        <v>54</v>
      </c>
      <c r="I82" s="1832" t="s">
        <v>502</v>
      </c>
      <c r="K82" s="2996"/>
      <c r="L82" s="1831" t="s">
        <v>89</v>
      </c>
      <c r="M82" s="1831" t="s">
        <v>54</v>
      </c>
      <c r="N82" s="2576" t="s">
        <v>91</v>
      </c>
      <c r="O82" s="590" t="s">
        <v>92</v>
      </c>
      <c r="P82" s="1829"/>
      <c r="Q82" s="1766"/>
      <c r="R82" s="1831" t="s">
        <v>54</v>
      </c>
      <c r="S82" s="1832" t="s">
        <v>502</v>
      </c>
      <c r="U82" s="590" t="s">
        <v>90</v>
      </c>
      <c r="V82" s="590" t="s">
        <v>91</v>
      </c>
      <c r="W82" s="1830" t="s">
        <v>507</v>
      </c>
      <c r="X82" s="590"/>
      <c r="Y82" s="1766"/>
      <c r="Z82" s="1831" t="s">
        <v>54</v>
      </c>
      <c r="AA82" s="1832" t="s">
        <v>507</v>
      </c>
    </row>
    <row r="83" spans="1:27" ht="89.25" x14ac:dyDescent="0.2">
      <c r="A83" s="1731"/>
      <c r="B83" s="1773" t="s">
        <v>847</v>
      </c>
      <c r="C83" s="2569">
        <v>2</v>
      </c>
      <c r="D83" s="2569">
        <f>750*$J$1+2000*$J$1</f>
        <v>10450</v>
      </c>
      <c r="E83" s="2548">
        <f>C83*D83</f>
        <v>20900</v>
      </c>
      <c r="F83" s="2549"/>
      <c r="G83" s="1766"/>
      <c r="H83" s="1767"/>
      <c r="I83" s="1768"/>
      <c r="K83" s="2996"/>
      <c r="L83" s="1773" t="s">
        <v>846</v>
      </c>
      <c r="M83" s="334">
        <v>6</v>
      </c>
      <c r="N83" s="2592">
        <f>O83/M83</f>
        <v>10607.066666666668</v>
      </c>
      <c r="O83" s="2548">
        <f>SUM('[5]צ.אמריקה (2)'!$O$88:$O$91)</f>
        <v>63642.400000000001</v>
      </c>
      <c r="P83" s="2549"/>
      <c r="Q83" s="1766"/>
      <c r="R83" s="1767"/>
      <c r="S83" s="1768"/>
      <c r="U83" s="1727">
        <f>M83-C83</f>
        <v>4</v>
      </c>
      <c r="V83" s="1727">
        <f>N83-D83</f>
        <v>157.06666666666752</v>
      </c>
      <c r="W83" s="1727">
        <f t="shared" ref="V83:X84" si="18">O83-E83</f>
        <v>42742.400000000001</v>
      </c>
      <c r="X83" s="1727">
        <f t="shared" si="18"/>
        <v>0</v>
      </c>
      <c r="Y83" s="1728"/>
      <c r="Z83" s="1727">
        <f>R83-H83</f>
        <v>0</v>
      </c>
      <c r="AA83" s="1727">
        <f>S83-I83</f>
        <v>0</v>
      </c>
    </row>
    <row r="84" spans="1:27" ht="38.25" x14ac:dyDescent="0.2">
      <c r="A84" s="1731"/>
      <c r="B84" s="1819" t="s">
        <v>699</v>
      </c>
      <c r="C84" s="2569">
        <v>0</v>
      </c>
      <c r="D84" s="2569">
        <v>0</v>
      </c>
      <c r="E84" s="2548">
        <f>C84*D84</f>
        <v>0</v>
      </c>
      <c r="F84" s="2549"/>
      <c r="G84" s="1766"/>
      <c r="H84" s="2549"/>
      <c r="I84" s="2549"/>
      <c r="K84" s="2996"/>
      <c r="L84" s="1819" t="s">
        <v>699</v>
      </c>
      <c r="M84" s="2569">
        <v>2</v>
      </c>
      <c r="N84" s="2514">
        <f>(1250+60*5+250*4)*$J$1</f>
        <v>9690</v>
      </c>
      <c r="O84" s="2548">
        <f>M84*N84</f>
        <v>19380</v>
      </c>
      <c r="P84" s="2549"/>
      <c r="Q84" s="1766"/>
      <c r="R84" s="2549"/>
      <c r="S84" s="2986"/>
      <c r="U84" s="1727">
        <f>M84-C84</f>
        <v>2</v>
      </c>
      <c r="V84" s="1727">
        <f t="shared" si="18"/>
        <v>9690</v>
      </c>
      <c r="W84" s="1727">
        <f t="shared" si="18"/>
        <v>19380</v>
      </c>
      <c r="X84" s="1727">
        <f t="shared" si="18"/>
        <v>0</v>
      </c>
      <c r="Y84" s="1728"/>
      <c r="Z84" s="1727">
        <f>R84-H84</f>
        <v>0</v>
      </c>
      <c r="AA84" s="1727">
        <f>S84-I84</f>
        <v>0</v>
      </c>
    </row>
    <row r="85" spans="1:27" ht="13.5" thickBot="1" x14ac:dyDescent="0.25">
      <c r="A85" s="1731"/>
      <c r="B85" s="2123" t="s">
        <v>13</v>
      </c>
      <c r="C85" s="1879"/>
      <c r="D85" s="1879"/>
      <c r="E85" s="1782">
        <f>SUM(E83:E84)</f>
        <v>20900</v>
      </c>
      <c r="F85" s="1782">
        <f>SUM(F83:F84)</f>
        <v>0</v>
      </c>
      <c r="G85" s="1782">
        <f>SUM(G83:G84)</f>
        <v>0</v>
      </c>
      <c r="H85" s="1782">
        <f>SUM(H83:H84)</f>
        <v>0</v>
      </c>
      <c r="I85" s="1782">
        <f>SUM(I83:I84)</f>
        <v>0</v>
      </c>
      <c r="K85" s="2987"/>
      <c r="L85" s="2561" t="s">
        <v>13</v>
      </c>
      <c r="M85" s="2026"/>
      <c r="N85" s="2988"/>
      <c r="O85" s="1864">
        <f>SUM(O83:O84)</f>
        <v>83022.399999999994</v>
      </c>
      <c r="P85" s="1864">
        <f>SUM(P83:P84)</f>
        <v>0</v>
      </c>
      <c r="Q85" s="1864">
        <f>SUM(Q83:Q84)</f>
        <v>0</v>
      </c>
      <c r="R85" s="1864">
        <f>SUM(R83:R84)</f>
        <v>0</v>
      </c>
      <c r="S85" s="2028">
        <f>SUM(S83:S84)</f>
        <v>0</v>
      </c>
      <c r="U85" s="1879"/>
      <c r="V85" s="1879"/>
      <c r="W85" s="1782">
        <f>SUM(W83:W84)</f>
        <v>62122.400000000001</v>
      </c>
      <c r="X85" s="1782">
        <f>SUM(X83:X84)</f>
        <v>0</v>
      </c>
      <c r="Y85" s="1782">
        <f>SUM(Y83:Y84)</f>
        <v>0</v>
      </c>
      <c r="Z85" s="1782">
        <f>SUM(Z83:Z84)</f>
        <v>0</v>
      </c>
      <c r="AA85" s="1782">
        <f>SUM(AA83:AA84)</f>
        <v>0</v>
      </c>
    </row>
    <row r="86" spans="1:27" x14ac:dyDescent="0.2">
      <c r="A86" s="1731"/>
      <c r="B86" s="2570"/>
      <c r="C86" s="1986"/>
      <c r="D86" s="1986"/>
      <c r="E86" s="1987"/>
      <c r="L86" s="2974" t="s">
        <v>889</v>
      </c>
      <c r="O86" s="1930"/>
    </row>
    <row r="87" spans="1:27" ht="13.5" thickBot="1" x14ac:dyDescent="0.25">
      <c r="A87" s="1731"/>
      <c r="B87" s="646" t="s">
        <v>700</v>
      </c>
      <c r="C87" s="2571"/>
      <c r="D87" s="2571"/>
      <c r="L87" s="2974" t="s">
        <v>902</v>
      </c>
    </row>
    <row r="88" spans="1:27" ht="25.5" x14ac:dyDescent="0.2">
      <c r="B88" s="2558" t="s">
        <v>701</v>
      </c>
      <c r="C88" s="3252" t="s">
        <v>642</v>
      </c>
      <c r="D88" s="3252"/>
      <c r="E88" s="3252"/>
      <c r="F88" s="1937"/>
      <c r="G88" s="1938"/>
      <c r="H88" s="3217" t="s">
        <v>88</v>
      </c>
      <c r="I88" s="3218"/>
      <c r="K88" s="303"/>
      <c r="L88" s="2558" t="s">
        <v>701</v>
      </c>
      <c r="M88" s="3216" t="s">
        <v>812</v>
      </c>
      <c r="N88" s="3216"/>
      <c r="O88" s="3216"/>
      <c r="P88" s="1937"/>
      <c r="Q88" s="1938"/>
      <c r="R88" s="3217" t="s">
        <v>88</v>
      </c>
      <c r="S88" s="3218"/>
      <c r="U88" s="3216" t="s">
        <v>506</v>
      </c>
      <c r="V88" s="3216"/>
      <c r="W88" s="3216"/>
      <c r="X88" s="1937"/>
      <c r="Y88" s="1939"/>
      <c r="Z88" s="3217" t="s">
        <v>88</v>
      </c>
      <c r="AA88" s="3218"/>
    </row>
    <row r="89" spans="1:27" ht="38.25" x14ac:dyDescent="0.2">
      <c r="B89" s="1831" t="s">
        <v>89</v>
      </c>
      <c r="C89" s="1831" t="s">
        <v>54</v>
      </c>
      <c r="D89" s="590" t="s">
        <v>91</v>
      </c>
      <c r="E89" s="590" t="s">
        <v>92</v>
      </c>
      <c r="F89" s="1829"/>
      <c r="G89" s="1766"/>
      <c r="H89" s="1831" t="s">
        <v>54</v>
      </c>
      <c r="I89" s="1832" t="s">
        <v>502</v>
      </c>
      <c r="K89" s="303"/>
      <c r="L89" s="1831" t="s">
        <v>89</v>
      </c>
      <c r="M89" s="1831" t="s">
        <v>54</v>
      </c>
      <c r="N89" s="2576" t="s">
        <v>91</v>
      </c>
      <c r="O89" s="590" t="s">
        <v>92</v>
      </c>
      <c r="P89" s="1829"/>
      <c r="Q89" s="1766"/>
      <c r="R89" s="1831" t="s">
        <v>54</v>
      </c>
      <c r="S89" s="1832" t="s">
        <v>502</v>
      </c>
      <c r="U89" s="590" t="s">
        <v>90</v>
      </c>
      <c r="V89" s="590" t="s">
        <v>91</v>
      </c>
      <c r="W89" s="1830" t="s">
        <v>507</v>
      </c>
      <c r="X89" s="590"/>
      <c r="Y89" s="1766"/>
      <c r="Z89" s="1831" t="s">
        <v>54</v>
      </c>
      <c r="AA89" s="1832" t="s">
        <v>507</v>
      </c>
    </row>
    <row r="90" spans="1:27" ht="102" x14ac:dyDescent="0.2">
      <c r="B90" s="1773" t="s">
        <v>849</v>
      </c>
      <c r="C90" s="2565">
        <v>1</v>
      </c>
      <c r="D90" s="2565">
        <f>750*$J$1*2+3000*$J$1*2+400*$J$1*3</f>
        <v>33060</v>
      </c>
      <c r="E90" s="2548">
        <f>C90*D90</f>
        <v>33060</v>
      </c>
      <c r="F90" s="2549"/>
      <c r="G90" s="1766"/>
      <c r="H90" s="1767"/>
      <c r="I90" s="1768"/>
      <c r="K90" s="303"/>
      <c r="L90" s="1773" t="s">
        <v>848</v>
      </c>
      <c r="M90" s="334">
        <v>2</v>
      </c>
      <c r="N90" s="2592">
        <f>O90/M90</f>
        <v>33060</v>
      </c>
      <c r="O90" s="2548">
        <v>66120</v>
      </c>
      <c r="P90" s="2549"/>
      <c r="Q90" s="1766"/>
      <c r="R90" s="1767"/>
      <c r="S90" s="1768"/>
      <c r="U90" s="1727">
        <f>M90-C90</f>
        <v>1</v>
      </c>
      <c r="V90" s="1727">
        <f t="shared" ref="V90:X91" si="19">N90-D90</f>
        <v>0</v>
      </c>
      <c r="W90" s="1727">
        <f t="shared" si="19"/>
        <v>33060</v>
      </c>
      <c r="X90" s="1727">
        <f t="shared" si="19"/>
        <v>0</v>
      </c>
      <c r="Y90" s="1728"/>
      <c r="Z90" s="1727">
        <f>R90-H90</f>
        <v>0</v>
      </c>
      <c r="AA90" s="1727">
        <f>S90-I90</f>
        <v>0</v>
      </c>
    </row>
    <row r="91" spans="1:27" ht="38.25" x14ac:dyDescent="0.2">
      <c r="B91" s="1819" t="s">
        <v>699</v>
      </c>
      <c r="C91" s="2565">
        <v>0</v>
      </c>
      <c r="D91" s="2565">
        <v>0</v>
      </c>
      <c r="E91" s="2548">
        <f>C91*D91</f>
        <v>0</v>
      </c>
      <c r="F91" s="2549"/>
      <c r="G91" s="1766"/>
      <c r="H91" s="2549"/>
      <c r="I91" s="2549"/>
      <c r="K91" s="303"/>
      <c r="L91" s="1819" t="s">
        <v>699</v>
      </c>
      <c r="M91" s="334">
        <v>2</v>
      </c>
      <c r="N91" s="2514">
        <f>(1250+60*5+250*4)*$J$1</f>
        <v>9690</v>
      </c>
      <c r="O91" s="2548">
        <f>M91*N91</f>
        <v>19380</v>
      </c>
      <c r="P91" s="2549"/>
      <c r="Q91" s="1766"/>
      <c r="R91" s="2549"/>
      <c r="S91" s="2549"/>
      <c r="U91" s="1727">
        <f>M91-C91</f>
        <v>2</v>
      </c>
      <c r="V91" s="1727">
        <f t="shared" si="19"/>
        <v>9690</v>
      </c>
      <c r="W91" s="1727">
        <f t="shared" si="19"/>
        <v>19380</v>
      </c>
      <c r="X91" s="1727">
        <f t="shared" si="19"/>
        <v>0</v>
      </c>
      <c r="Y91" s="1728"/>
      <c r="Z91" s="1727">
        <f>R91-H91</f>
        <v>0</v>
      </c>
      <c r="AA91" s="1727">
        <f>S91-I91</f>
        <v>0</v>
      </c>
    </row>
    <row r="92" spans="1:27" x14ac:dyDescent="0.2">
      <c r="B92" s="2123"/>
      <c r="C92" s="1879"/>
      <c r="D92" s="1879"/>
      <c r="E92" s="1782">
        <f>SUM(E90:E91)</f>
        <v>33060</v>
      </c>
      <c r="F92" s="1782">
        <f>SUM(F90:F91)</f>
        <v>0</v>
      </c>
      <c r="G92" s="1782">
        <f>SUM(G90:G91)</f>
        <v>0</v>
      </c>
      <c r="H92" s="1782">
        <f>SUM(H90:H91)</f>
        <v>0</v>
      </c>
      <c r="I92" s="1782">
        <f>SUM(I90:I91)</f>
        <v>0</v>
      </c>
      <c r="K92" s="303"/>
      <c r="L92" s="2123"/>
      <c r="M92" s="1879"/>
      <c r="N92" s="2587"/>
      <c r="O92" s="1782">
        <f>SUM(O90:O91)</f>
        <v>85500</v>
      </c>
      <c r="P92" s="1782">
        <f>SUM(P90:P91)</f>
        <v>0</v>
      </c>
      <c r="Q92" s="1782">
        <f>SUM(Q90:Q91)</f>
        <v>0</v>
      </c>
      <c r="R92" s="1782">
        <f>SUM(R90:R91)</f>
        <v>0</v>
      </c>
      <c r="S92" s="1782">
        <f>SUM(S90:S91)</f>
        <v>0</v>
      </c>
      <c r="U92" s="1879"/>
      <c r="V92" s="1879"/>
      <c r="W92" s="1782">
        <f>SUM(W90:W91)</f>
        <v>52440</v>
      </c>
      <c r="X92" s="1782">
        <f>SUM(X90:X91)</f>
        <v>0</v>
      </c>
      <c r="Y92" s="1782">
        <f>SUM(Y90:Y91)</f>
        <v>0</v>
      </c>
      <c r="Z92" s="1782">
        <f>SUM(Z90:Z91)</f>
        <v>0</v>
      </c>
      <c r="AA92" s="1782">
        <f>SUM(AA90:AA91)</f>
        <v>0</v>
      </c>
    </row>
    <row r="93" spans="1:27" x14ac:dyDescent="0.2">
      <c r="B93" s="2570"/>
      <c r="L93" s="2974" t="s">
        <v>889</v>
      </c>
      <c r="O93" s="1930">
        <v>0</v>
      </c>
    </row>
    <row r="94" spans="1:27" ht="13.5" thickBot="1" x14ac:dyDescent="0.25">
      <c r="B94" s="1731"/>
      <c r="L94" s="2974" t="s">
        <v>902</v>
      </c>
    </row>
    <row r="95" spans="1:27" ht="28.5" customHeight="1" x14ac:dyDescent="0.2">
      <c r="B95" s="2989" t="s">
        <v>871</v>
      </c>
      <c r="C95" s="3216" t="s">
        <v>642</v>
      </c>
      <c r="D95" s="3216"/>
      <c r="E95" s="3216"/>
      <c r="F95" s="2981"/>
      <c r="G95" s="1938"/>
      <c r="H95" s="3217" t="s">
        <v>88</v>
      </c>
      <c r="I95" s="3218"/>
      <c r="K95" s="2984"/>
      <c r="L95" s="2557" t="s">
        <v>871</v>
      </c>
      <c r="M95" s="3216" t="s">
        <v>812</v>
      </c>
      <c r="N95" s="3216"/>
      <c r="O95" s="3216"/>
      <c r="P95" s="2981"/>
      <c r="Q95" s="1938"/>
      <c r="R95" s="3217" t="s">
        <v>88</v>
      </c>
      <c r="S95" s="3218"/>
      <c r="U95" s="3216" t="s">
        <v>506</v>
      </c>
      <c r="V95" s="3216"/>
      <c r="W95" s="3216"/>
      <c r="X95" s="1937"/>
      <c r="Y95" s="1939"/>
      <c r="Z95" s="3217" t="s">
        <v>88</v>
      </c>
      <c r="AA95" s="3218"/>
    </row>
    <row r="96" spans="1:27" ht="38.25" x14ac:dyDescent="0.2">
      <c r="B96" s="2990" t="s">
        <v>89</v>
      </c>
      <c r="C96" s="1831" t="s">
        <v>54</v>
      </c>
      <c r="D96" s="590" t="s">
        <v>91</v>
      </c>
      <c r="E96" s="590" t="s">
        <v>92</v>
      </c>
      <c r="F96" s="1829"/>
      <c r="G96" s="1766"/>
      <c r="H96" s="1831" t="s">
        <v>54</v>
      </c>
      <c r="I96" s="1832" t="s">
        <v>502</v>
      </c>
      <c r="K96" s="2985"/>
      <c r="L96" s="1831" t="s">
        <v>89</v>
      </c>
      <c r="M96" s="1831" t="s">
        <v>54</v>
      </c>
      <c r="N96" s="2576" t="s">
        <v>91</v>
      </c>
      <c r="O96" s="590" t="s">
        <v>92</v>
      </c>
      <c r="P96" s="1829"/>
      <c r="Q96" s="1766"/>
      <c r="R96" s="1831" t="s">
        <v>54</v>
      </c>
      <c r="S96" s="1832" t="s">
        <v>502</v>
      </c>
      <c r="U96" s="590" t="s">
        <v>90</v>
      </c>
      <c r="V96" s="590" t="s">
        <v>91</v>
      </c>
      <c r="W96" s="1830" t="s">
        <v>507</v>
      </c>
      <c r="X96" s="590"/>
      <c r="Y96" s="1766"/>
      <c r="Z96" s="1831" t="s">
        <v>54</v>
      </c>
      <c r="AA96" s="1832" t="s">
        <v>507</v>
      </c>
    </row>
    <row r="97" spans="1:51" x14ac:dyDescent="0.2">
      <c r="B97" s="2991" t="s">
        <v>757</v>
      </c>
      <c r="C97" s="2565">
        <v>0</v>
      </c>
      <c r="D97" s="2565">
        <v>0</v>
      </c>
      <c r="E97" s="2548">
        <f t="shared" ref="E97:E102" si="20">C97*D97</f>
        <v>0</v>
      </c>
      <c r="F97" s="2549"/>
      <c r="G97" s="1766"/>
      <c r="H97" s="1767"/>
      <c r="I97" s="1768"/>
      <c r="K97" s="2985"/>
      <c r="L97" s="1951" t="s">
        <v>757</v>
      </c>
      <c r="M97" s="2109">
        <v>3</v>
      </c>
      <c r="N97" s="2514">
        <f>O103/M97</f>
        <v>208474.83</v>
      </c>
      <c r="O97" s="2548"/>
      <c r="P97" s="2549"/>
      <c r="Q97" s="1766"/>
      <c r="R97" s="1767"/>
      <c r="S97" s="1768"/>
      <c r="U97" s="1727">
        <f t="shared" ref="U97:U102" si="21">M97-C97</f>
        <v>3</v>
      </c>
      <c r="V97" s="1727">
        <f t="shared" ref="V97:X102" si="22">N97-D97</f>
        <v>208474.83</v>
      </c>
      <c r="W97" s="1727">
        <f t="shared" si="22"/>
        <v>0</v>
      </c>
      <c r="X97" s="1727">
        <f t="shared" si="22"/>
        <v>0</v>
      </c>
      <c r="Y97" s="1728"/>
      <c r="Z97" s="1727">
        <f t="shared" ref="Z97:AA102" si="23">R97-H97</f>
        <v>0</v>
      </c>
      <c r="AA97" s="1727">
        <f t="shared" si="23"/>
        <v>0</v>
      </c>
    </row>
    <row r="98" spans="1:51" x14ac:dyDescent="0.2">
      <c r="B98" s="2991" t="s">
        <v>758</v>
      </c>
      <c r="C98" s="2565">
        <v>0</v>
      </c>
      <c r="D98" s="2565">
        <v>0</v>
      </c>
      <c r="E98" s="2548">
        <f t="shared" si="20"/>
        <v>0</v>
      </c>
      <c r="F98" s="2549"/>
      <c r="G98" s="1766"/>
      <c r="H98" s="2549"/>
      <c r="I98" s="2986"/>
      <c r="K98" s="2985"/>
      <c r="L98" s="1951" t="s">
        <v>758</v>
      </c>
      <c r="M98" s="2109">
        <v>10</v>
      </c>
      <c r="N98" s="2514"/>
      <c r="O98" s="2548">
        <f t="shared" ref="O98:O104" si="24">M98*N98</f>
        <v>0</v>
      </c>
      <c r="P98" s="2549"/>
      <c r="Q98" s="1766"/>
      <c r="R98" s="2549"/>
      <c r="S98" s="2986"/>
      <c r="U98" s="1727">
        <f t="shared" si="21"/>
        <v>10</v>
      </c>
      <c r="V98" s="1727">
        <f t="shared" si="22"/>
        <v>0</v>
      </c>
      <c r="W98" s="1727">
        <f t="shared" si="22"/>
        <v>0</v>
      </c>
      <c r="X98" s="1727">
        <f t="shared" si="22"/>
        <v>0</v>
      </c>
      <c r="Y98" s="1728"/>
      <c r="Z98" s="1727">
        <f t="shared" si="23"/>
        <v>0</v>
      </c>
      <c r="AA98" s="1727">
        <f t="shared" si="23"/>
        <v>0</v>
      </c>
    </row>
    <row r="99" spans="1:51" x14ac:dyDescent="0.2">
      <c r="B99" s="2991" t="s">
        <v>759</v>
      </c>
      <c r="C99" s="2565">
        <v>0</v>
      </c>
      <c r="D99" s="2565">
        <v>0</v>
      </c>
      <c r="E99" s="2548">
        <f t="shared" si="20"/>
        <v>0</v>
      </c>
      <c r="F99" s="2549"/>
      <c r="G99" s="1766"/>
      <c r="H99" s="2549"/>
      <c r="I99" s="2986"/>
      <c r="K99" s="2985"/>
      <c r="L99" s="1951" t="s">
        <v>759</v>
      </c>
      <c r="M99" s="2109">
        <v>750</v>
      </c>
      <c r="N99" s="2514"/>
      <c r="O99" s="2548">
        <f t="shared" si="24"/>
        <v>0</v>
      </c>
      <c r="P99" s="2549"/>
      <c r="Q99" s="1766"/>
      <c r="R99" s="2549"/>
      <c r="S99" s="2986"/>
      <c r="U99" s="1727">
        <f t="shared" si="21"/>
        <v>750</v>
      </c>
      <c r="V99" s="1727">
        <f t="shared" si="22"/>
        <v>0</v>
      </c>
      <c r="W99" s="1727">
        <f t="shared" si="22"/>
        <v>0</v>
      </c>
      <c r="X99" s="1727">
        <f t="shared" si="22"/>
        <v>0</v>
      </c>
      <c r="Y99" s="1728"/>
      <c r="Z99" s="1727">
        <f t="shared" si="23"/>
        <v>0</v>
      </c>
      <c r="AA99" s="1727">
        <f t="shared" si="23"/>
        <v>0</v>
      </c>
    </row>
    <row r="100" spans="1:51" ht="25.5" x14ac:dyDescent="0.2">
      <c r="B100" s="2992" t="s">
        <v>760</v>
      </c>
      <c r="C100" s="2565">
        <v>0</v>
      </c>
      <c r="D100" s="2565">
        <v>0</v>
      </c>
      <c r="E100" s="2548">
        <f t="shared" si="20"/>
        <v>0</v>
      </c>
      <c r="F100" s="2549"/>
      <c r="G100" s="1766"/>
      <c r="H100" s="2549"/>
      <c r="I100" s="2986"/>
      <c r="K100" s="2985"/>
      <c r="L100" s="2572" t="s">
        <v>850</v>
      </c>
      <c r="M100" s="334">
        <f>M97</f>
        <v>3</v>
      </c>
      <c r="N100" s="2514">
        <f>O100/M100</f>
        <v>79274.83</v>
      </c>
      <c r="O100" s="2548">
        <f>SUM('[5]צ.אמריקה (2)'!$O$111,'[5]צ.אמריקה (2)'!$O$114,'[5]צ.אמריקה (2)'!$O$115)</f>
        <v>237824.49</v>
      </c>
      <c r="P100" s="2549"/>
      <c r="Q100" s="1766"/>
      <c r="R100" s="2549"/>
      <c r="S100" s="2986"/>
      <c r="U100" s="1727">
        <f t="shared" si="21"/>
        <v>3</v>
      </c>
      <c r="V100" s="1727">
        <f t="shared" si="22"/>
        <v>79274.83</v>
      </c>
      <c r="W100" s="1727">
        <f t="shared" si="22"/>
        <v>237824.49</v>
      </c>
      <c r="X100" s="1727">
        <f t="shared" si="22"/>
        <v>0</v>
      </c>
      <c r="Y100" s="1728"/>
      <c r="Z100" s="1727">
        <f t="shared" si="23"/>
        <v>0</v>
      </c>
      <c r="AA100" s="1727">
        <f t="shared" si="23"/>
        <v>0</v>
      </c>
    </row>
    <row r="101" spans="1:51" x14ac:dyDescent="0.2">
      <c r="B101" s="2993" t="s">
        <v>761</v>
      </c>
      <c r="C101" s="2565">
        <v>0</v>
      </c>
      <c r="D101" s="2565">
        <v>0</v>
      </c>
      <c r="E101" s="2548">
        <f t="shared" si="20"/>
        <v>0</v>
      </c>
      <c r="F101" s="2549"/>
      <c r="G101" s="1766"/>
      <c r="H101" s="2549"/>
      <c r="I101" s="2986"/>
      <c r="K101" s="2985"/>
      <c r="L101" s="1957" t="s">
        <v>761</v>
      </c>
      <c r="M101" s="334">
        <f>10*M97</f>
        <v>30</v>
      </c>
      <c r="N101" s="2580">
        <f>1400*$J$1</f>
        <v>5320</v>
      </c>
      <c r="O101" s="2548">
        <f t="shared" si="24"/>
        <v>159600</v>
      </c>
      <c r="P101" s="2549"/>
      <c r="Q101" s="1766"/>
      <c r="R101" s="2549"/>
      <c r="S101" s="2986"/>
      <c r="U101" s="1727">
        <f t="shared" si="21"/>
        <v>30</v>
      </c>
      <c r="V101" s="1727">
        <f t="shared" si="22"/>
        <v>5320</v>
      </c>
      <c r="W101" s="1727">
        <f t="shared" si="22"/>
        <v>159600</v>
      </c>
      <c r="X101" s="1727">
        <f t="shared" si="22"/>
        <v>0</v>
      </c>
      <c r="Y101" s="1728"/>
      <c r="Z101" s="1727">
        <f t="shared" si="23"/>
        <v>0</v>
      </c>
      <c r="AA101" s="1727">
        <f t="shared" si="23"/>
        <v>0</v>
      </c>
    </row>
    <row r="102" spans="1:51" ht="38.25" x14ac:dyDescent="0.2">
      <c r="B102" s="2993" t="s">
        <v>762</v>
      </c>
      <c r="C102" s="2565">
        <v>0</v>
      </c>
      <c r="D102" s="2565">
        <v>0</v>
      </c>
      <c r="E102" s="2548">
        <f t="shared" si="20"/>
        <v>0</v>
      </c>
      <c r="F102" s="2549"/>
      <c r="G102" s="1766"/>
      <c r="H102" s="2549"/>
      <c r="I102" s="2986"/>
      <c r="K102" s="2985"/>
      <c r="L102" s="1957" t="s">
        <v>762</v>
      </c>
      <c r="M102" s="334">
        <f>M97</f>
        <v>3</v>
      </c>
      <c r="N102" s="2514">
        <f>10*4*250*$J$1+10*5*200*$J$1</f>
        <v>76000</v>
      </c>
      <c r="O102" s="2548">
        <f t="shared" si="24"/>
        <v>228000</v>
      </c>
      <c r="P102" s="2549"/>
      <c r="Q102" s="1766"/>
      <c r="R102" s="2549"/>
      <c r="S102" s="2986"/>
      <c r="U102" s="1727">
        <f t="shared" si="21"/>
        <v>3</v>
      </c>
      <c r="V102" s="1727">
        <f t="shared" si="22"/>
        <v>76000</v>
      </c>
      <c r="W102" s="1727">
        <f t="shared" si="22"/>
        <v>228000</v>
      </c>
      <c r="X102" s="1727">
        <f t="shared" si="22"/>
        <v>0</v>
      </c>
      <c r="Y102" s="1728"/>
      <c r="Z102" s="1727">
        <f t="shared" si="23"/>
        <v>0</v>
      </c>
      <c r="AA102" s="1727">
        <f t="shared" si="23"/>
        <v>0</v>
      </c>
    </row>
    <row r="103" spans="1:51" ht="13.5" thickBot="1" x14ac:dyDescent="0.25">
      <c r="A103" s="1731"/>
      <c r="B103" s="2994"/>
      <c r="C103" s="2026"/>
      <c r="D103" s="2026"/>
      <c r="E103" s="1864">
        <f>SUM(E97:E102)</f>
        <v>0</v>
      </c>
      <c r="F103" s="1864">
        <f>SUM(F97:F102)</f>
        <v>0</v>
      </c>
      <c r="G103" s="1864">
        <f>SUM(G97:G102)</f>
        <v>0</v>
      </c>
      <c r="H103" s="1864">
        <f>SUM(H97:H102)</f>
        <v>0</v>
      </c>
      <c r="I103" s="2028">
        <f>SUM(I97:I102)</f>
        <v>0</v>
      </c>
      <c r="K103" s="2987"/>
      <c r="L103" s="2561"/>
      <c r="M103" s="2026"/>
      <c r="N103" s="2988"/>
      <c r="O103" s="1864">
        <f>SUM(O97:O102)</f>
        <v>625424.49</v>
      </c>
      <c r="P103" s="1864">
        <f>SUM(P97:P102)</f>
        <v>0</v>
      </c>
      <c r="Q103" s="1864">
        <f>SUM(Q97:Q102)</f>
        <v>0</v>
      </c>
      <c r="R103" s="1864">
        <f>SUM(R97:R102)</f>
        <v>0</v>
      </c>
      <c r="S103" s="2028">
        <f>SUM(S97:S102)</f>
        <v>0</v>
      </c>
      <c r="U103" s="1879"/>
      <c r="V103" s="1879"/>
      <c r="W103" s="1782">
        <f>SUM(W97:W102)</f>
        <v>625424.49</v>
      </c>
      <c r="X103" s="1782">
        <f>SUM(X97:X102)</f>
        <v>0</v>
      </c>
      <c r="Y103" s="1782">
        <f>SUM(Y97:Y102)</f>
        <v>0</v>
      </c>
      <c r="Z103" s="1782">
        <f>SUM(Z97:Z102)</f>
        <v>0</v>
      </c>
      <c r="AA103" s="1782">
        <f>SUM(AA97:AA102)</f>
        <v>0</v>
      </c>
    </row>
    <row r="104" spans="1:51" ht="13.5" thickBot="1" x14ac:dyDescent="0.25">
      <c r="A104" s="1731"/>
      <c r="B104" s="2573"/>
      <c r="C104" s="2573"/>
      <c r="D104" s="2573"/>
      <c r="E104" s="2573"/>
      <c r="F104" s="2574"/>
      <c r="O104" s="2983">
        <f t="shared" si="24"/>
        <v>0</v>
      </c>
    </row>
    <row r="105" spans="1:51" s="1881" customFormat="1" ht="38.25" x14ac:dyDescent="0.2">
      <c r="A105" s="369">
        <v>5</v>
      </c>
      <c r="B105" s="2000" t="s">
        <v>413</v>
      </c>
      <c r="C105" s="3216" t="s">
        <v>410</v>
      </c>
      <c r="D105" s="3216"/>
      <c r="E105" s="3216"/>
      <c r="F105" s="2825"/>
      <c r="G105" s="1949"/>
      <c r="H105" s="2826" t="s">
        <v>88</v>
      </c>
      <c r="I105" s="2827"/>
      <c r="K105" s="369">
        <v>5</v>
      </c>
      <c r="L105" s="2000" t="s">
        <v>413</v>
      </c>
      <c r="M105" s="3216" t="s">
        <v>812</v>
      </c>
      <c r="N105" s="3216"/>
      <c r="O105" s="3216"/>
      <c r="P105" s="2825"/>
      <c r="Q105" s="1949"/>
      <c r="R105" s="2826" t="s">
        <v>88</v>
      </c>
      <c r="S105" s="2827"/>
      <c r="U105" s="3216" t="s">
        <v>506</v>
      </c>
      <c r="V105" s="3216"/>
      <c r="W105" s="3216"/>
      <c r="X105" s="2825"/>
      <c r="Y105" s="1939"/>
      <c r="Z105" s="3217" t="s">
        <v>88</v>
      </c>
      <c r="AA105" s="3218"/>
      <c r="AY105" s="1731"/>
    </row>
    <row r="106" spans="1:51" ht="38.25" x14ac:dyDescent="0.2">
      <c r="A106" s="370"/>
      <c r="B106" s="1831" t="s">
        <v>89</v>
      </c>
      <c r="C106" s="1831" t="s">
        <v>54</v>
      </c>
      <c r="D106" s="590" t="s">
        <v>91</v>
      </c>
      <c r="E106" s="590" t="s">
        <v>92</v>
      </c>
      <c r="F106" s="590"/>
      <c r="G106" s="1723"/>
      <c r="H106" s="1831" t="s">
        <v>54</v>
      </c>
      <c r="I106" s="1909" t="s">
        <v>92</v>
      </c>
      <c r="K106" s="370"/>
      <c r="L106" s="1831" t="s">
        <v>89</v>
      </c>
      <c r="M106" s="1831" t="s">
        <v>54</v>
      </c>
      <c r="N106" s="590" t="s">
        <v>91</v>
      </c>
      <c r="O106" s="590" t="s">
        <v>92</v>
      </c>
      <c r="P106" s="590"/>
      <c r="Q106" s="1723"/>
      <c r="R106" s="1831" t="s">
        <v>54</v>
      </c>
      <c r="S106" s="1909" t="s">
        <v>92</v>
      </c>
      <c r="U106" s="590" t="s">
        <v>90</v>
      </c>
      <c r="V106" s="590" t="s">
        <v>91</v>
      </c>
      <c r="W106" s="1830" t="s">
        <v>507</v>
      </c>
      <c r="X106" s="590"/>
      <c r="Y106" s="1766"/>
      <c r="Z106" s="1831" t="s">
        <v>54</v>
      </c>
      <c r="AA106" s="1832" t="s">
        <v>507</v>
      </c>
    </row>
    <row r="107" spans="1:51" ht="25.5" x14ac:dyDescent="0.2">
      <c r="A107" s="252"/>
      <c r="B107" s="1771" t="s">
        <v>414</v>
      </c>
      <c r="C107" s="1724"/>
      <c r="D107" s="1724"/>
      <c r="E107" s="2129"/>
      <c r="F107" s="2129"/>
      <c r="G107" s="1723"/>
      <c r="H107" s="1724"/>
      <c r="I107" s="2632"/>
      <c r="K107" s="252"/>
      <c r="L107" s="1771" t="s">
        <v>414</v>
      </c>
      <c r="M107" s="1724"/>
      <c r="N107" s="1724"/>
      <c r="O107" s="2129"/>
      <c r="P107" s="2129"/>
      <c r="Q107" s="1723"/>
      <c r="R107" s="1724"/>
      <c r="S107" s="2632">
        <v>240000</v>
      </c>
      <c r="U107" s="1727">
        <f>M107-C107</f>
        <v>0</v>
      </c>
      <c r="V107" s="1727">
        <f>N107-D107</f>
        <v>0</v>
      </c>
      <c r="W107" s="1727">
        <f>O107-E107</f>
        <v>0</v>
      </c>
      <c r="X107" s="1743">
        <f>P107-F107</f>
        <v>0</v>
      </c>
      <c r="Y107" s="1728">
        <f>Q107-G107</f>
        <v>0</v>
      </c>
      <c r="Z107" s="1769"/>
      <c r="AA107" s="1770">
        <f>S107-I107</f>
        <v>240000</v>
      </c>
    </row>
    <row r="108" spans="1:51" ht="13.5" thickBot="1" x14ac:dyDescent="0.25">
      <c r="A108" s="383"/>
      <c r="B108" s="2561" t="s">
        <v>13</v>
      </c>
      <c r="C108" s="2026"/>
      <c r="D108" s="2026"/>
      <c r="E108" s="1864">
        <f>SUM(E107)</f>
        <v>0</v>
      </c>
      <c r="F108" s="1864"/>
      <c r="G108" s="2027"/>
      <c r="H108" s="1760"/>
      <c r="I108" s="2028">
        <f>SUM(I107)</f>
        <v>0</v>
      </c>
      <c r="K108" s="383"/>
      <c r="L108" s="2561" t="s">
        <v>13</v>
      </c>
      <c r="M108" s="2026"/>
      <c r="N108" s="2026"/>
      <c r="O108" s="1864">
        <f>SUM(O107)</f>
        <v>0</v>
      </c>
      <c r="P108" s="1864"/>
      <c r="Q108" s="2027"/>
      <c r="R108" s="1760"/>
      <c r="S108" s="2028">
        <f>SUM(S107)</f>
        <v>240000</v>
      </c>
      <c r="U108" s="1779"/>
      <c r="V108" s="1779"/>
      <c r="W108" s="1779">
        <f>SUM(W107:W107)</f>
        <v>0</v>
      </c>
      <c r="X108" s="1779">
        <f>SUM(X107:X107)</f>
        <v>0</v>
      </c>
      <c r="Y108" s="1779">
        <f>SUM(Y107:Y107)</f>
        <v>0</v>
      </c>
      <c r="Z108" s="1779">
        <f>SUM(Z107:Z107)</f>
        <v>0</v>
      </c>
      <c r="AA108" s="1779">
        <f>SUM(AA107:AA107)</f>
        <v>240000</v>
      </c>
      <c r="AY108" s="1726"/>
    </row>
    <row r="109" spans="1:51" ht="13.5" thickBot="1" x14ac:dyDescent="0.25">
      <c r="B109" s="2553"/>
      <c r="C109" s="2554"/>
      <c r="D109" s="2554"/>
      <c r="E109" s="2071"/>
      <c r="F109" s="2071"/>
      <c r="H109" s="1757"/>
      <c r="I109" s="1987"/>
      <c r="N109" s="1731"/>
      <c r="AY109" s="1881"/>
    </row>
    <row r="110" spans="1:51" ht="13.5" thickBot="1" x14ac:dyDescent="0.25">
      <c r="A110" s="2131"/>
      <c r="B110" s="2132" t="s">
        <v>13</v>
      </c>
      <c r="C110" s="2133"/>
      <c r="D110" s="2134"/>
      <c r="E110" s="2134">
        <f>E22+E41+E33+E92+E85+E77+E59+E69+E49+E103+E108</f>
        <v>397409.9</v>
      </c>
      <c r="F110" s="2134">
        <f>F22+F41+F33+F92+F85+F77+F59+F69+F49+F103+F108</f>
        <v>0</v>
      </c>
      <c r="G110" s="2134">
        <f>G22+G41+G33+G92+G85+G77+G59+G69+G49+G103+G108</f>
        <v>0</v>
      </c>
      <c r="H110" s="2134">
        <f>H22+H41+H33+H92+H85+H77+H59+H69+H49+H103+H108</f>
        <v>0</v>
      </c>
      <c r="I110" s="2134">
        <f>I22+I41+I33+I92+I85+I77+I59+I69+I49+I103+I108</f>
        <v>0</v>
      </c>
      <c r="K110" s="2131"/>
      <c r="L110" s="2132" t="s">
        <v>13</v>
      </c>
      <c r="M110" s="2133"/>
      <c r="N110" s="2134"/>
      <c r="O110" s="2134">
        <f>O22+O41+O33+O92+O85+O77+O59+O69+O49+O103+O108</f>
        <v>1840987.39</v>
      </c>
      <c r="P110" s="2134">
        <f>P22+P41+P33+P92+P85+P77+P59+P69+P49+P103+P108</f>
        <v>45315</v>
      </c>
      <c r="Q110" s="2134">
        <f>Q22+Q41+Q33+Q92+Q85+Q77+Q59+Q69+Q49+Q103+Q108</f>
        <v>0</v>
      </c>
      <c r="R110" s="2134">
        <f>R22+R41+R33+R92+R85+R77+R59+R69+R49+R103+R108</f>
        <v>0</v>
      </c>
      <c r="S110" s="2134">
        <f>S22+S41+S33+S92+S85+S77+S59+S69+S49+S103+S108</f>
        <v>850000</v>
      </c>
      <c r="U110" s="2133"/>
      <c r="V110" s="2134"/>
      <c r="W110" s="2134">
        <f>W22+W41+W33+W92+W85+W77+W59+W69+W49+W103+W108</f>
        <v>1599377.49</v>
      </c>
      <c r="X110" s="2134">
        <f>X22+X41+X33+X92+X85+X77+X59+X69+X49+X103+X108</f>
        <v>45315</v>
      </c>
      <c r="Y110" s="2134">
        <f>Y22+Y41+Y33+Y92+Y85+Y77+Y59+Y69+Y49+Y103+Y108</f>
        <v>0</v>
      </c>
      <c r="Z110" s="2134">
        <f>Z22+Z41+Z33+Z92+Z85+Z77+Z59+Z69+Z49+Z103+Z108</f>
        <v>0</v>
      </c>
      <c r="AA110" s="2134">
        <f>AA22+AA41+AA33+AA92+AA85+AA77+AA59+AA69+AA49+AA103+AA108</f>
        <v>850000</v>
      </c>
    </row>
    <row r="111" spans="1:51" x14ac:dyDescent="0.2">
      <c r="A111" s="1731"/>
      <c r="B111" s="1731" t="s">
        <v>775</v>
      </c>
      <c r="O111" s="1930">
        <f>-O110+'סיכום 9.17  '!H89</f>
        <v>0</v>
      </c>
      <c r="P111" s="1930"/>
    </row>
    <row r="112" spans="1:51" x14ac:dyDescent="0.2">
      <c r="A112" s="1731"/>
      <c r="B112" s="1731"/>
      <c r="E112" s="2575"/>
      <c r="O112" s="1930"/>
      <c r="P112" s="1930"/>
    </row>
    <row r="113" spans="1:15" x14ac:dyDescent="0.2">
      <c r="A113" s="1731"/>
      <c r="B113" s="1731"/>
      <c r="O113" s="1777"/>
    </row>
    <row r="114" spans="1:15" x14ac:dyDescent="0.2">
      <c r="A114" s="1731"/>
      <c r="B114" s="1731"/>
    </row>
    <row r="115" spans="1:15" x14ac:dyDescent="0.2">
      <c r="A115" s="1731"/>
      <c r="B115" s="1731"/>
      <c r="E115" s="1930"/>
      <c r="O115" s="1930"/>
    </row>
    <row r="116" spans="1:15" x14ac:dyDescent="0.2">
      <c r="A116" s="1731"/>
      <c r="B116" s="1731"/>
    </row>
    <row r="117" spans="1:15" x14ac:dyDescent="0.2">
      <c r="A117" s="1731"/>
      <c r="B117" s="1731"/>
    </row>
    <row r="118" spans="1:15" x14ac:dyDescent="0.2">
      <c r="A118" s="1731"/>
      <c r="B118" s="1731"/>
    </row>
    <row r="119" spans="1:15" x14ac:dyDescent="0.2">
      <c r="A119" s="1731"/>
      <c r="B119" s="1731"/>
    </row>
    <row r="120" spans="1:15" x14ac:dyDescent="0.2">
      <c r="A120" s="1731"/>
      <c r="B120" s="1731"/>
    </row>
    <row r="121" spans="1:15" x14ac:dyDescent="0.2">
      <c r="A121" s="1731"/>
      <c r="B121" s="1731"/>
    </row>
    <row r="122" spans="1:15" x14ac:dyDescent="0.2">
      <c r="A122" s="1731"/>
      <c r="B122" s="1731"/>
    </row>
    <row r="123" spans="1:15" x14ac:dyDescent="0.2">
      <c r="A123" s="1731"/>
      <c r="B123" s="1731"/>
    </row>
    <row r="124" spans="1:15" x14ac:dyDescent="0.2">
      <c r="A124" s="1731"/>
      <c r="B124" s="1731"/>
    </row>
    <row r="125" spans="1:15" x14ac:dyDescent="0.2">
      <c r="A125" s="1731"/>
      <c r="B125" s="1731"/>
    </row>
    <row r="126" spans="1:15" x14ac:dyDescent="0.2">
      <c r="A126" s="1731"/>
      <c r="B126" s="1731"/>
    </row>
    <row r="127" spans="1:15" x14ac:dyDescent="0.2">
      <c r="A127" s="1731"/>
      <c r="B127" s="1731"/>
    </row>
    <row r="128" spans="1:15" x14ac:dyDescent="0.2">
      <c r="A128" s="1731"/>
      <c r="B128" s="1731"/>
    </row>
    <row r="129" spans="1:2" x14ac:dyDescent="0.2">
      <c r="A129" s="1731"/>
      <c r="B129" s="1731"/>
    </row>
    <row r="130" spans="1:2" x14ac:dyDescent="0.2">
      <c r="A130" s="1731"/>
      <c r="B130" s="1731"/>
    </row>
    <row r="131" spans="1:2" x14ac:dyDescent="0.2">
      <c r="A131" s="1731"/>
      <c r="B131" s="1731"/>
    </row>
    <row r="132" spans="1:2" x14ac:dyDescent="0.2">
      <c r="A132" s="1731"/>
      <c r="B132" s="1731"/>
    </row>
    <row r="133" spans="1:2" x14ac:dyDescent="0.2">
      <c r="A133" s="1731"/>
      <c r="B133" s="1731"/>
    </row>
    <row r="134" spans="1:2" x14ac:dyDescent="0.2">
      <c r="A134" s="1731"/>
      <c r="B134" s="1731"/>
    </row>
    <row r="135" spans="1:2" x14ac:dyDescent="0.2">
      <c r="A135" s="1731"/>
      <c r="B135" s="1731"/>
    </row>
    <row r="136" spans="1:2" x14ac:dyDescent="0.2">
      <c r="A136" s="1731"/>
      <c r="B136" s="1731"/>
    </row>
    <row r="137" spans="1:2" x14ac:dyDescent="0.2">
      <c r="A137" s="1731"/>
      <c r="B137" s="1731"/>
    </row>
    <row r="138" spans="1:2" x14ac:dyDescent="0.2">
      <c r="A138" s="1731"/>
      <c r="B138" s="1731"/>
    </row>
    <row r="139" spans="1:2" x14ac:dyDescent="0.2">
      <c r="A139" s="1731"/>
      <c r="B139" s="1731"/>
    </row>
  </sheetData>
  <mergeCells count="68">
    <mergeCell ref="Z25:AA25"/>
    <mergeCell ref="C2:E2"/>
    <mergeCell ref="H2:I2"/>
    <mergeCell ref="M2:O2"/>
    <mergeCell ref="R2:S2"/>
    <mergeCell ref="U2:W2"/>
    <mergeCell ref="Z2:AA2"/>
    <mergeCell ref="C25:E25"/>
    <mergeCell ref="H25:I25"/>
    <mergeCell ref="M25:O25"/>
    <mergeCell ref="R25:S25"/>
    <mergeCell ref="U25:W25"/>
    <mergeCell ref="A26:A32"/>
    <mergeCell ref="K26:K32"/>
    <mergeCell ref="C36:E36"/>
    <mergeCell ref="H36:I36"/>
    <mergeCell ref="M36:O36"/>
    <mergeCell ref="U36:W36"/>
    <mergeCell ref="Z36:AA36"/>
    <mergeCell ref="A37:A40"/>
    <mergeCell ref="K37:K40"/>
    <mergeCell ref="C44:E44"/>
    <mergeCell ref="H44:I44"/>
    <mergeCell ref="M44:O44"/>
    <mergeCell ref="R44:S44"/>
    <mergeCell ref="U44:W44"/>
    <mergeCell ref="Z44:AA44"/>
    <mergeCell ref="R36:S36"/>
    <mergeCell ref="Z62:AA62"/>
    <mergeCell ref="C53:E53"/>
    <mergeCell ref="H53:I53"/>
    <mergeCell ref="M53:O53"/>
    <mergeCell ref="R53:S53"/>
    <mergeCell ref="U53:W53"/>
    <mergeCell ref="Z53:AA53"/>
    <mergeCell ref="C62:E62"/>
    <mergeCell ref="H62:I62"/>
    <mergeCell ref="M62:O62"/>
    <mergeCell ref="R62:S62"/>
    <mergeCell ref="U62:W62"/>
    <mergeCell ref="Z81:AA81"/>
    <mergeCell ref="C73:E73"/>
    <mergeCell ref="H73:I73"/>
    <mergeCell ref="M73:O73"/>
    <mergeCell ref="R73:S73"/>
    <mergeCell ref="U73:W73"/>
    <mergeCell ref="Z73:AA73"/>
    <mergeCell ref="C81:E81"/>
    <mergeCell ref="H81:I81"/>
    <mergeCell ref="M81:O81"/>
    <mergeCell ref="R81:S81"/>
    <mergeCell ref="U81:W81"/>
    <mergeCell ref="C105:E105"/>
    <mergeCell ref="M105:O105"/>
    <mergeCell ref="U105:W105"/>
    <mergeCell ref="Z105:AA105"/>
    <mergeCell ref="Z95:AA95"/>
    <mergeCell ref="U95:W95"/>
    <mergeCell ref="R88:S88"/>
    <mergeCell ref="U88:W88"/>
    <mergeCell ref="Z88:AA88"/>
    <mergeCell ref="C95:E95"/>
    <mergeCell ref="H95:I95"/>
    <mergeCell ref="M95:O95"/>
    <mergeCell ref="R95:S95"/>
    <mergeCell ref="C88:E88"/>
    <mergeCell ref="H88:I88"/>
    <mergeCell ref="M88:O88"/>
  </mergeCells>
  <pageMargins left="0.70866141732283505" right="0.70866141732283505" top="0.74803149606299202" bottom="0.74803149606299202" header="0.31496062992126" footer="0.31496062992126"/>
  <pageSetup paperSize="9" scale="93" fitToHeight="0" orientation="portrait" r:id="rId1"/>
  <headerFooter>
    <oddHeader>&amp;L&amp;D&amp;C&amp;A&amp;R&amp;F</oddHeader>
    <oddFooter>&amp;L&amp;P</oddFooter>
  </headerFooter>
  <rowBreaks count="1" manualBreakCount="1">
    <brk id="43" min="10" max="18"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196"/>
  <sheetViews>
    <sheetView rightToLeft="1" zoomScaleNormal="100" workbookViewId="0">
      <pane ySplit="1" topLeftCell="A5" activePane="bottomLeft" state="frozen"/>
      <selection activeCell="A101" sqref="A101"/>
      <selection pane="bottomLeft" activeCell="AC15" sqref="AC15"/>
    </sheetView>
  </sheetViews>
  <sheetFormatPr defaultRowHeight="12.75" x14ac:dyDescent="0.2"/>
  <cols>
    <col min="1" max="1" width="4.125" style="303" hidden="1" customWidth="1"/>
    <col min="2" max="2" width="28.125" style="303" hidden="1" customWidth="1"/>
    <col min="3" max="3" width="15.125" style="1731" hidden="1" customWidth="1"/>
    <col min="4" max="4" width="13.875" style="1731" hidden="1" customWidth="1"/>
    <col min="5" max="6" width="17.125" style="1731" hidden="1" customWidth="1"/>
    <col min="7" max="7" width="2.25" style="1731" hidden="1" customWidth="1"/>
    <col min="8" max="8" width="12.75" style="1731" hidden="1" customWidth="1"/>
    <col min="9" max="9" width="13.875" style="1731" hidden="1" customWidth="1"/>
    <col min="10" max="10" width="9" style="1731" hidden="1" customWidth="1"/>
    <col min="11" max="11" width="2.125" style="1731" customWidth="1"/>
    <col min="12" max="12" width="20.125" style="1731" customWidth="1"/>
    <col min="13" max="14" width="9" style="1731"/>
    <col min="15" max="15" width="12.5" style="1731" customWidth="1"/>
    <col min="16" max="16" width="10.25" style="1731" customWidth="1"/>
    <col min="17" max="17" width="1.875" style="1731" customWidth="1"/>
    <col min="18" max="18" width="9" style="1731"/>
    <col min="19" max="19" width="11.625" style="1731" customWidth="1"/>
    <col min="20" max="20" width="9" style="1731"/>
    <col min="21" max="22" width="0" style="1731" hidden="1" customWidth="1"/>
    <col min="23" max="23" width="10.25" style="1731" hidden="1" customWidth="1"/>
    <col min="24" max="24" width="0" style="1731" hidden="1" customWidth="1"/>
    <col min="25" max="25" width="1.625" style="1731" hidden="1" customWidth="1"/>
    <col min="26" max="27" width="0" style="1731" hidden="1" customWidth="1"/>
    <col min="28" max="37" width="9" style="1731"/>
    <col min="38" max="38" width="10" style="1731" bestFit="1" customWidth="1"/>
    <col min="39" max="40" width="10" style="1731" customWidth="1"/>
    <col min="41" max="44" width="9.25" style="1731" bestFit="1" customWidth="1"/>
    <col min="45" max="45" width="10" style="1731" bestFit="1" customWidth="1"/>
    <col min="46" max="48" width="9.25" style="1731" bestFit="1" customWidth="1"/>
    <col min="49" max="50" width="9.25" style="1731" customWidth="1"/>
    <col min="51" max="51" width="9.375" style="1731" bestFit="1" customWidth="1"/>
    <col min="52" max="52" width="9.25" style="1731" bestFit="1" customWidth="1"/>
    <col min="53" max="53" width="9.25" style="1731" customWidth="1"/>
    <col min="54" max="16384" width="9" style="1731"/>
  </cols>
  <sheetData>
    <row r="1" spans="1:54" s="1971" customFormat="1" ht="26.25" thickBot="1" x14ac:dyDescent="0.25">
      <c r="A1" s="2593"/>
      <c r="B1" s="2593"/>
      <c r="C1" s="2593"/>
      <c r="D1" s="1946" t="s">
        <v>75</v>
      </c>
      <c r="E1" s="1946" t="s">
        <v>76</v>
      </c>
      <c r="F1" s="2593"/>
      <c r="G1" s="2593"/>
      <c r="H1" s="2593"/>
      <c r="J1" s="1971">
        <v>3.8</v>
      </c>
      <c r="AL1" s="1947" t="s">
        <v>488</v>
      </c>
      <c r="AM1" s="1947" t="s">
        <v>494</v>
      </c>
      <c r="AN1" s="1947" t="s">
        <v>495</v>
      </c>
      <c r="AO1" s="1947" t="s">
        <v>490</v>
      </c>
      <c r="AP1" s="1947" t="s">
        <v>489</v>
      </c>
      <c r="AQ1" s="1947" t="s">
        <v>250</v>
      </c>
      <c r="AR1" s="1947" t="s">
        <v>251</v>
      </c>
      <c r="AS1" s="1947" t="s">
        <v>493</v>
      </c>
      <c r="AT1" s="1947" t="s">
        <v>491</v>
      </c>
      <c r="AU1" s="1947" t="s">
        <v>358</v>
      </c>
      <c r="AV1" s="1947" t="s">
        <v>492</v>
      </c>
      <c r="AW1" s="1947" t="s">
        <v>496</v>
      </c>
      <c r="AX1" s="1947" t="s">
        <v>497</v>
      </c>
      <c r="AY1" s="1947" t="s">
        <v>498</v>
      </c>
      <c r="AZ1" s="1947" t="s">
        <v>172</v>
      </c>
      <c r="BA1" s="1947" t="s">
        <v>499</v>
      </c>
      <c r="BB1" s="1947" t="s">
        <v>500</v>
      </c>
    </row>
    <row r="2" spans="1:54" ht="15" customHeight="1" x14ac:dyDescent="0.2">
      <c r="A2" s="369">
        <v>1</v>
      </c>
      <c r="B2" s="1948" t="s">
        <v>397</v>
      </c>
      <c r="C2" s="3216" t="s">
        <v>398</v>
      </c>
      <c r="D2" s="3216"/>
      <c r="E2" s="3216"/>
      <c r="F2" s="1937"/>
      <c r="G2" s="1949"/>
      <c r="H2" s="3231" t="s">
        <v>88</v>
      </c>
      <c r="I2" s="3232"/>
      <c r="J2" s="591">
        <v>4.4000000000000004</v>
      </c>
      <c r="K2" s="369">
        <v>1</v>
      </c>
      <c r="L2" s="1948" t="s">
        <v>397</v>
      </c>
      <c r="M2" s="3216" t="s">
        <v>812</v>
      </c>
      <c r="N2" s="3216"/>
      <c r="O2" s="3216"/>
      <c r="P2" s="1937"/>
      <c r="Q2" s="1949"/>
      <c r="R2" s="3231" t="s">
        <v>88</v>
      </c>
      <c r="S2" s="3232"/>
      <c r="U2" s="3216" t="s">
        <v>506</v>
      </c>
      <c r="V2" s="3216"/>
      <c r="W2" s="3216"/>
      <c r="X2" s="1937"/>
      <c r="Y2" s="1939"/>
      <c r="Z2" s="3217" t="s">
        <v>88</v>
      </c>
      <c r="AA2" s="3218"/>
    </row>
    <row r="3" spans="1:54" ht="38.25" x14ac:dyDescent="0.2">
      <c r="A3" s="370"/>
      <c r="B3" s="1831" t="s">
        <v>89</v>
      </c>
      <c r="C3" s="590" t="s">
        <v>90</v>
      </c>
      <c r="D3" s="590" t="s">
        <v>91</v>
      </c>
      <c r="E3" s="590" t="s">
        <v>92</v>
      </c>
      <c r="F3" s="590"/>
      <c r="G3" s="1723"/>
      <c r="H3" s="1831" t="s">
        <v>54</v>
      </c>
      <c r="I3" s="1909" t="s">
        <v>92</v>
      </c>
      <c r="J3" s="591">
        <v>6.2</v>
      </c>
      <c r="K3" s="370"/>
      <c r="L3" s="1831" t="s">
        <v>89</v>
      </c>
      <c r="M3" s="590" t="s">
        <v>90</v>
      </c>
      <c r="N3" s="590" t="s">
        <v>91</v>
      </c>
      <c r="O3" s="590" t="s">
        <v>92</v>
      </c>
      <c r="P3" s="590"/>
      <c r="Q3" s="1723"/>
      <c r="R3" s="1831" t="s">
        <v>54</v>
      </c>
      <c r="S3" s="1909" t="s">
        <v>92</v>
      </c>
      <c r="U3" s="590" t="s">
        <v>90</v>
      </c>
      <c r="V3" s="590" t="s">
        <v>91</v>
      </c>
      <c r="W3" s="1830" t="s">
        <v>507</v>
      </c>
      <c r="X3" s="590"/>
      <c r="Y3" s="1766"/>
      <c r="Z3" s="1831" t="s">
        <v>54</v>
      </c>
      <c r="AA3" s="1832" t="s">
        <v>507</v>
      </c>
    </row>
    <row r="4" spans="1:54" s="1971" customFormat="1" ht="15" customHeight="1" x14ac:dyDescent="0.2">
      <c r="A4" s="252"/>
      <c r="B4" s="1899" t="s">
        <v>7</v>
      </c>
      <c r="C4" s="1899">
        <v>0.6</v>
      </c>
      <c r="D4" s="1899"/>
      <c r="E4" s="1899"/>
      <c r="F4" s="1899"/>
      <c r="G4" s="1723"/>
      <c r="H4" s="1891" t="s">
        <v>406</v>
      </c>
      <c r="I4" s="2594"/>
      <c r="K4" s="421"/>
      <c r="L4" s="1899" t="s">
        <v>7</v>
      </c>
      <c r="M4" s="594">
        <v>0.6</v>
      </c>
      <c r="N4" s="1899"/>
      <c r="O4" s="1899"/>
      <c r="P4" s="1899"/>
      <c r="Q4" s="1723"/>
      <c r="R4" s="1891" t="s">
        <v>406</v>
      </c>
      <c r="S4" s="2594"/>
      <c r="U4" s="2939">
        <f t="shared" ref="U4:U16" si="0">M4-C4</f>
        <v>0</v>
      </c>
      <c r="V4" s="1727">
        <f t="shared" ref="V4:V16" si="1">N4-D4</f>
        <v>0</v>
      </c>
      <c r="W4" s="1727">
        <f t="shared" ref="W4:W16" si="2">O4-E4</f>
        <v>0</v>
      </c>
      <c r="X4" s="1743">
        <f t="shared" ref="X4:X16" si="3">P4-F4</f>
        <v>0</v>
      </c>
      <c r="Y4" s="1728">
        <f t="shared" ref="Y4:Y16" si="4">Q4-G4</f>
        <v>0</v>
      </c>
      <c r="Z4" s="1769"/>
      <c r="AA4" s="1770">
        <f t="shared" ref="AA4:AA16" si="5">S4-I4</f>
        <v>0</v>
      </c>
    </row>
    <row r="5" spans="1:54" s="1971" customFormat="1" ht="25.5" x14ac:dyDescent="0.2">
      <c r="A5" s="252"/>
      <c r="B5" s="2002" t="s">
        <v>407</v>
      </c>
      <c r="C5" s="1903">
        <v>12</v>
      </c>
      <c r="D5" s="1903">
        <f>4350*$J$1</f>
        <v>16530</v>
      </c>
      <c r="E5" s="1903">
        <f>+D5*C5*C4*0.85</f>
        <v>101163.59999999999</v>
      </c>
      <c r="F5" s="1903">
        <f>D5*C5*C4*0.15</f>
        <v>17852.399999999998</v>
      </c>
      <c r="G5" s="1723"/>
      <c r="H5" s="1891" t="s">
        <v>406</v>
      </c>
      <c r="I5" s="2595">
        <f>220000-F5</f>
        <v>202147.6</v>
      </c>
      <c r="K5" s="421"/>
      <c r="L5" s="2002" t="s">
        <v>407</v>
      </c>
      <c r="M5" s="557">
        <v>19</v>
      </c>
      <c r="N5" s="1903">
        <f>4350*3.8</f>
        <v>16530</v>
      </c>
      <c r="O5" s="1903">
        <f>+N5*M5*0.85</f>
        <v>266959.5</v>
      </c>
      <c r="P5" s="1903">
        <f>N5*M5*0.15</f>
        <v>47110.5</v>
      </c>
      <c r="Q5" s="1723"/>
      <c r="R5" s="1891" t="s">
        <v>406</v>
      </c>
      <c r="S5" s="2596">
        <v>202147.6</v>
      </c>
      <c r="U5" s="1727">
        <f t="shared" si="0"/>
        <v>7</v>
      </c>
      <c r="V5" s="1727">
        <f t="shared" si="1"/>
        <v>0</v>
      </c>
      <c r="W5" s="1727">
        <f t="shared" si="2"/>
        <v>165795.90000000002</v>
      </c>
      <c r="X5" s="1743">
        <f t="shared" si="3"/>
        <v>29258.100000000002</v>
      </c>
      <c r="Y5" s="1728">
        <f t="shared" si="4"/>
        <v>0</v>
      </c>
      <c r="Z5" s="1769"/>
      <c r="AA5" s="1770">
        <f t="shared" si="5"/>
        <v>0</v>
      </c>
      <c r="AP5" s="1985">
        <f>E5</f>
        <v>101163.59999999999</v>
      </c>
      <c r="AY5" s="1731"/>
    </row>
    <row r="6" spans="1:54" s="1971" customFormat="1" ht="38.25" x14ac:dyDescent="0.2">
      <c r="A6" s="252"/>
      <c r="B6" s="2002" t="s">
        <v>408</v>
      </c>
      <c r="C6" s="1903">
        <v>12</v>
      </c>
      <c r="D6" s="1903">
        <v>1816</v>
      </c>
      <c r="E6" s="1903">
        <f>+D6*C6*C4*0.85</f>
        <v>11113.919999999998</v>
      </c>
      <c r="F6" s="1903">
        <f>D6*C6*C4*0.15</f>
        <v>1961.2799999999997</v>
      </c>
      <c r="G6" s="1723"/>
      <c r="H6" s="1891"/>
      <c r="I6" s="2597">
        <f>30000-F6</f>
        <v>28038.720000000001</v>
      </c>
      <c r="K6" s="421"/>
      <c r="L6" s="2002" t="s">
        <v>408</v>
      </c>
      <c r="M6" s="1903">
        <v>19</v>
      </c>
      <c r="N6" s="1903">
        <v>1816</v>
      </c>
      <c r="O6" s="2598">
        <f>0.85*N6*M6</f>
        <v>29328.399999999998</v>
      </c>
      <c r="P6" s="2598">
        <f>N6*M6*0.15</f>
        <v>5175.5999999999995</v>
      </c>
      <c r="Q6" s="1723"/>
      <c r="R6" s="1891"/>
      <c r="S6" s="2596">
        <v>28038.720000000001</v>
      </c>
      <c r="U6" s="1727">
        <f t="shared" si="0"/>
        <v>7</v>
      </c>
      <c r="V6" s="1727">
        <f t="shared" si="1"/>
        <v>0</v>
      </c>
      <c r="W6" s="1727">
        <f t="shared" si="2"/>
        <v>18214.48</v>
      </c>
      <c r="X6" s="1743">
        <f t="shared" si="3"/>
        <v>3214.3199999999997</v>
      </c>
      <c r="Y6" s="1728">
        <f t="shared" si="4"/>
        <v>0</v>
      </c>
      <c r="Z6" s="1769">
        <f t="shared" ref="Z6:Z16" si="6">R6-H6</f>
        <v>0</v>
      </c>
      <c r="AA6" s="1770">
        <f t="shared" si="5"/>
        <v>0</v>
      </c>
      <c r="AY6" s="1731"/>
      <c r="BB6" s="1985">
        <f>E6</f>
        <v>11113.919999999998</v>
      </c>
    </row>
    <row r="7" spans="1:54" s="1971" customFormat="1" x14ac:dyDescent="0.2">
      <c r="A7" s="252"/>
      <c r="B7" s="2002"/>
      <c r="C7" s="1903"/>
      <c r="D7" s="1903"/>
      <c r="E7" s="1903"/>
      <c r="F7" s="1903"/>
      <c r="G7" s="1723"/>
      <c r="H7" s="1891"/>
      <c r="I7" s="2597"/>
      <c r="K7" s="421"/>
      <c r="L7" s="2002" t="s">
        <v>607</v>
      </c>
      <c r="M7" s="1903">
        <v>12</v>
      </c>
      <c r="N7" s="1903">
        <v>1500</v>
      </c>
      <c r="O7" s="2598">
        <f>N7*M7</f>
        <v>18000</v>
      </c>
      <c r="P7" s="2598"/>
      <c r="Q7" s="1723"/>
      <c r="R7" s="1891"/>
      <c r="S7" s="2597"/>
      <c r="U7" s="1727">
        <f t="shared" si="0"/>
        <v>12</v>
      </c>
      <c r="V7" s="1727">
        <f t="shared" si="1"/>
        <v>1500</v>
      </c>
      <c r="W7" s="1727">
        <f t="shared" si="2"/>
        <v>18000</v>
      </c>
      <c r="X7" s="1743">
        <f t="shared" si="3"/>
        <v>0</v>
      </c>
      <c r="Y7" s="1728">
        <f t="shared" si="4"/>
        <v>0</v>
      </c>
      <c r="Z7" s="1769">
        <f t="shared" si="6"/>
        <v>0</v>
      </c>
      <c r="AA7" s="1770">
        <f t="shared" si="5"/>
        <v>0</v>
      </c>
      <c r="AY7" s="1731"/>
      <c r="BB7" s="1985"/>
    </row>
    <row r="8" spans="1:54" x14ac:dyDescent="0.2">
      <c r="A8" s="252"/>
      <c r="B8" s="2005" t="s">
        <v>111</v>
      </c>
      <c r="C8" s="2006">
        <v>16</v>
      </c>
      <c r="D8" s="2006"/>
      <c r="E8" s="2007"/>
      <c r="F8" s="2007"/>
      <c r="G8" s="1723"/>
      <c r="H8" s="1818"/>
      <c r="I8" s="1952"/>
      <c r="K8" s="252"/>
      <c r="L8" s="2005" t="s">
        <v>111</v>
      </c>
      <c r="M8" s="2006">
        <v>20</v>
      </c>
      <c r="N8" s="2006"/>
      <c r="O8" s="2007"/>
      <c r="P8" s="2007"/>
      <c r="Q8" s="1723"/>
      <c r="R8" s="1818"/>
      <c r="S8" s="1952"/>
      <c r="U8" s="1727">
        <f t="shared" si="0"/>
        <v>4</v>
      </c>
      <c r="V8" s="1727">
        <f t="shared" si="1"/>
        <v>0</v>
      </c>
      <c r="W8" s="1727">
        <f t="shared" si="2"/>
        <v>0</v>
      </c>
      <c r="X8" s="1743">
        <f t="shared" si="3"/>
        <v>0</v>
      </c>
      <c r="Y8" s="1728">
        <f t="shared" si="4"/>
        <v>0</v>
      </c>
      <c r="Z8" s="1769">
        <f t="shared" si="6"/>
        <v>0</v>
      </c>
      <c r="AA8" s="1770">
        <f t="shared" si="5"/>
        <v>0</v>
      </c>
    </row>
    <row r="9" spans="1:54" ht="63.75" x14ac:dyDescent="0.2">
      <c r="A9" s="252">
        <v>1</v>
      </c>
      <c r="B9" s="1884" t="s">
        <v>829</v>
      </c>
      <c r="C9" s="2008">
        <v>16</v>
      </c>
      <c r="D9" s="2008">
        <f>63309/16+2500</f>
        <v>6456.8125</v>
      </c>
      <c r="E9" s="2008">
        <f>C9*D9</f>
        <v>103309</v>
      </c>
      <c r="F9" s="2008"/>
      <c r="G9" s="1723"/>
      <c r="H9" s="1818"/>
      <c r="I9" s="1952"/>
      <c r="K9" s="252"/>
      <c r="L9" s="1884" t="s">
        <v>829</v>
      </c>
      <c r="M9" s="2008">
        <f>M8</f>
        <v>20</v>
      </c>
      <c r="N9" s="2008">
        <f>63309/16+2500</f>
        <v>6456.8125</v>
      </c>
      <c r="O9" s="2008">
        <f>M9*N9</f>
        <v>129136.25</v>
      </c>
      <c r="P9" s="2008"/>
      <c r="Q9" s="1723"/>
      <c r="R9" s="1818"/>
      <c r="S9" s="1952"/>
      <c r="U9" s="1727">
        <f t="shared" si="0"/>
        <v>4</v>
      </c>
      <c r="V9" s="1727">
        <f t="shared" si="1"/>
        <v>0</v>
      </c>
      <c r="W9" s="1727">
        <f t="shared" si="2"/>
        <v>25827.25</v>
      </c>
      <c r="X9" s="1743">
        <f t="shared" si="3"/>
        <v>0</v>
      </c>
      <c r="Y9" s="1728">
        <f t="shared" si="4"/>
        <v>0</v>
      </c>
      <c r="Z9" s="1769">
        <f t="shared" si="6"/>
        <v>0</v>
      </c>
      <c r="AA9" s="1770">
        <f t="shared" si="5"/>
        <v>0</v>
      </c>
      <c r="AS9" s="1930">
        <f>E9</f>
        <v>103309</v>
      </c>
    </row>
    <row r="10" spans="1:54" x14ac:dyDescent="0.2">
      <c r="A10" s="252">
        <v>2</v>
      </c>
      <c r="B10" s="1884" t="s">
        <v>112</v>
      </c>
      <c r="C10" s="2008">
        <f>$C$8</f>
        <v>16</v>
      </c>
      <c r="D10" s="2008">
        <f>5300*J3</f>
        <v>32860</v>
      </c>
      <c r="E10" s="2008">
        <f>C10*D10</f>
        <v>525760</v>
      </c>
      <c r="F10" s="2008"/>
      <c r="G10" s="1964"/>
      <c r="H10" s="1818"/>
      <c r="I10" s="1952"/>
      <c r="K10" s="252"/>
      <c r="L10" s="1884" t="s">
        <v>112</v>
      </c>
      <c r="M10" s="2008">
        <f>M8</f>
        <v>20</v>
      </c>
      <c r="N10" s="2008">
        <f>5300*J3</f>
        <v>32860</v>
      </c>
      <c r="O10" s="2008">
        <f>M10*N10</f>
        <v>657200</v>
      </c>
      <c r="P10" s="2008"/>
      <c r="Q10" s="1964"/>
      <c r="R10" s="1818"/>
      <c r="S10" s="1952"/>
      <c r="U10" s="1727">
        <f t="shared" si="0"/>
        <v>4</v>
      </c>
      <c r="V10" s="1727">
        <f t="shared" si="1"/>
        <v>0</v>
      </c>
      <c r="W10" s="1727">
        <f t="shared" si="2"/>
        <v>131440</v>
      </c>
      <c r="X10" s="1743">
        <f t="shared" si="3"/>
        <v>0</v>
      </c>
      <c r="Y10" s="1728">
        <f t="shared" si="4"/>
        <v>0</v>
      </c>
      <c r="Z10" s="1769">
        <f t="shared" si="6"/>
        <v>0</v>
      </c>
      <c r="AA10" s="1770">
        <f t="shared" si="5"/>
        <v>0</v>
      </c>
      <c r="AW10" s="1930">
        <f>E10</f>
        <v>525760</v>
      </c>
    </row>
    <row r="11" spans="1:54" x14ac:dyDescent="0.2">
      <c r="A11" s="252">
        <v>3</v>
      </c>
      <c r="B11" s="1884" t="s">
        <v>113</v>
      </c>
      <c r="C11" s="2008">
        <f>$C$8</f>
        <v>16</v>
      </c>
      <c r="D11" s="2008">
        <f>-D10/2</f>
        <v>-16430</v>
      </c>
      <c r="E11" s="2008">
        <f>C11*D11</f>
        <v>-262880</v>
      </c>
      <c r="F11" s="2008"/>
      <c r="G11" s="1723"/>
      <c r="H11" s="1818"/>
      <c r="I11" s="1952"/>
      <c r="K11" s="252"/>
      <c r="L11" s="1884" t="s">
        <v>113</v>
      </c>
      <c r="M11" s="2008">
        <f>M8</f>
        <v>20</v>
      </c>
      <c r="N11" s="2008">
        <f>-N10/2</f>
        <v>-16430</v>
      </c>
      <c r="O11" s="2008">
        <f>M11*N11</f>
        <v>-328600</v>
      </c>
      <c r="P11" s="2008"/>
      <c r="Q11" s="1723"/>
      <c r="R11" s="1818"/>
      <c r="S11" s="1952"/>
      <c r="U11" s="1727">
        <f t="shared" si="0"/>
        <v>4</v>
      </c>
      <c r="V11" s="1727">
        <f t="shared" si="1"/>
        <v>0</v>
      </c>
      <c r="W11" s="1727">
        <f t="shared" si="2"/>
        <v>-65720</v>
      </c>
      <c r="X11" s="1743">
        <f t="shared" si="3"/>
        <v>0</v>
      </c>
      <c r="Y11" s="1728">
        <f t="shared" si="4"/>
        <v>0</v>
      </c>
      <c r="Z11" s="1769">
        <f t="shared" si="6"/>
        <v>0</v>
      </c>
      <c r="AA11" s="1770">
        <f t="shared" si="5"/>
        <v>0</v>
      </c>
      <c r="AW11" s="1930">
        <f>E11</f>
        <v>-262880</v>
      </c>
    </row>
    <row r="12" spans="1:54" s="1971" customFormat="1" ht="25.5" x14ac:dyDescent="0.2">
      <c r="A12" s="371"/>
      <c r="B12" s="2010" t="s">
        <v>399</v>
      </c>
      <c r="C12" s="2011"/>
      <c r="D12" s="2011"/>
      <c r="E12" s="2012"/>
      <c r="F12" s="2012"/>
      <c r="G12" s="1723"/>
      <c r="H12" s="1818"/>
      <c r="I12" s="1952"/>
      <c r="K12" s="371"/>
      <c r="L12" s="2010" t="s">
        <v>399</v>
      </c>
      <c r="M12" s="2011"/>
      <c r="N12" s="2011"/>
      <c r="O12" s="2012"/>
      <c r="P12" s="2012"/>
      <c r="Q12" s="1723"/>
      <c r="R12" s="1818"/>
      <c r="S12" s="1952"/>
      <c r="U12" s="1727">
        <f t="shared" si="0"/>
        <v>0</v>
      </c>
      <c r="V12" s="1727">
        <f t="shared" si="1"/>
        <v>0</v>
      </c>
      <c r="W12" s="1727">
        <f t="shared" si="2"/>
        <v>0</v>
      </c>
      <c r="X12" s="1743">
        <f t="shared" si="3"/>
        <v>0</v>
      </c>
      <c r="Y12" s="1728">
        <f t="shared" si="4"/>
        <v>0</v>
      </c>
      <c r="Z12" s="1769">
        <f t="shared" si="6"/>
        <v>0</v>
      </c>
      <c r="AA12" s="1770">
        <f t="shared" si="5"/>
        <v>0</v>
      </c>
      <c r="AY12" s="1731"/>
    </row>
    <row r="13" spans="1:54" s="1971" customFormat="1" x14ac:dyDescent="0.2">
      <c r="A13" s="371">
        <v>5</v>
      </c>
      <c r="B13" s="1763" t="s">
        <v>116</v>
      </c>
      <c r="C13" s="2008">
        <v>5</v>
      </c>
      <c r="D13" s="2008">
        <v>500</v>
      </c>
      <c r="E13" s="2008">
        <f>D13*C13</f>
        <v>2500</v>
      </c>
      <c r="F13" s="2008"/>
      <c r="G13" s="1964"/>
      <c r="H13" s="1818"/>
      <c r="I13" s="1952"/>
      <c r="K13" s="371"/>
      <c r="L13" s="1763" t="s">
        <v>116</v>
      </c>
      <c r="M13" s="2008">
        <v>5</v>
      </c>
      <c r="N13" s="2008">
        <v>500</v>
      </c>
      <c r="O13" s="2008">
        <f>N13*M13</f>
        <v>2500</v>
      </c>
      <c r="P13" s="2008"/>
      <c r="Q13" s="1964"/>
      <c r="R13" s="1818"/>
      <c r="S13" s="1952"/>
      <c r="U13" s="1727">
        <f t="shared" si="0"/>
        <v>0</v>
      </c>
      <c r="V13" s="1727">
        <f t="shared" si="1"/>
        <v>0</v>
      </c>
      <c r="W13" s="1727">
        <f t="shared" si="2"/>
        <v>0</v>
      </c>
      <c r="X13" s="1743">
        <f t="shared" si="3"/>
        <v>0</v>
      </c>
      <c r="Y13" s="1728">
        <f t="shared" si="4"/>
        <v>0</v>
      </c>
      <c r="Z13" s="1769">
        <f t="shared" si="6"/>
        <v>0</v>
      </c>
      <c r="AA13" s="1770">
        <f t="shared" si="5"/>
        <v>0</v>
      </c>
      <c r="AY13" s="1731"/>
    </row>
    <row r="14" spans="1:54" s="1726" customFormat="1" x14ac:dyDescent="0.2">
      <c r="A14" s="252">
        <v>6</v>
      </c>
      <c r="B14" s="1763" t="s">
        <v>400</v>
      </c>
      <c r="C14" s="2008">
        <v>50</v>
      </c>
      <c r="D14" s="2008">
        <f>25*$J$1</f>
        <v>95</v>
      </c>
      <c r="E14" s="2008">
        <f>D14*C14</f>
        <v>4750</v>
      </c>
      <c r="F14" s="2008"/>
      <c r="G14" s="1723"/>
      <c r="H14" s="1818"/>
      <c r="I14" s="1952"/>
      <c r="J14" s="1972"/>
      <c r="K14" s="252"/>
      <c r="L14" s="1763" t="s">
        <v>400</v>
      </c>
      <c r="M14" s="2008">
        <v>50</v>
      </c>
      <c r="N14" s="2008">
        <f>25*$J$1</f>
        <v>95</v>
      </c>
      <c r="O14" s="2008">
        <f>N14*M14</f>
        <v>4750</v>
      </c>
      <c r="P14" s="2008"/>
      <c r="Q14" s="1723"/>
      <c r="R14" s="1818"/>
      <c r="S14" s="1952"/>
      <c r="T14" s="1972"/>
      <c r="U14" s="1727">
        <f t="shared" si="0"/>
        <v>0</v>
      </c>
      <c r="V14" s="1727">
        <f t="shared" si="1"/>
        <v>0</v>
      </c>
      <c r="W14" s="1727">
        <f t="shared" si="2"/>
        <v>0</v>
      </c>
      <c r="X14" s="1743">
        <f t="shared" si="3"/>
        <v>0</v>
      </c>
      <c r="Y14" s="1728">
        <f t="shared" si="4"/>
        <v>0</v>
      </c>
      <c r="Z14" s="1769">
        <f t="shared" si="6"/>
        <v>0</v>
      </c>
      <c r="AA14" s="1770">
        <f t="shared" si="5"/>
        <v>0</v>
      </c>
      <c r="AB14" s="1972"/>
      <c r="AC14" s="1972"/>
      <c r="AD14" s="1972"/>
      <c r="AE14" s="1972"/>
      <c r="AF14" s="1972"/>
      <c r="AG14" s="1972"/>
      <c r="AH14" s="1972"/>
      <c r="AI14" s="1972"/>
      <c r="AJ14" s="1972"/>
      <c r="AK14" s="1972"/>
      <c r="AL14" s="1972"/>
      <c r="AM14" s="1972"/>
      <c r="AN14" s="1972"/>
      <c r="AO14" s="1976">
        <f>E13</f>
        <v>2500</v>
      </c>
      <c r="AU14" s="1984">
        <f>E14</f>
        <v>4750</v>
      </c>
      <c r="AY14" s="1731"/>
    </row>
    <row r="15" spans="1:54" s="1726" customFormat="1" ht="38.25" x14ac:dyDescent="0.2">
      <c r="A15" s="252">
        <v>7</v>
      </c>
      <c r="B15" s="1763" t="s">
        <v>401</v>
      </c>
      <c r="C15" s="2008">
        <v>50</v>
      </c>
      <c r="D15" s="2008">
        <f>50*$J$1</f>
        <v>190</v>
      </c>
      <c r="E15" s="2008">
        <f>D15*C15</f>
        <v>9500</v>
      </c>
      <c r="F15" s="2008"/>
      <c r="G15" s="1723"/>
      <c r="H15" s="1818"/>
      <c r="I15" s="1952"/>
      <c r="J15" s="1972"/>
      <c r="K15" s="252"/>
      <c r="L15" s="1763" t="s">
        <v>401</v>
      </c>
      <c r="M15" s="2008">
        <v>50</v>
      </c>
      <c r="N15" s="2008">
        <f>50*$J$1</f>
        <v>190</v>
      </c>
      <c r="O15" s="2008">
        <f>N15*M15</f>
        <v>9500</v>
      </c>
      <c r="P15" s="2008"/>
      <c r="Q15" s="1723"/>
      <c r="R15" s="1818"/>
      <c r="S15" s="1952"/>
      <c r="T15" s="1972"/>
      <c r="U15" s="1727">
        <f t="shared" si="0"/>
        <v>0</v>
      </c>
      <c r="V15" s="1727">
        <f t="shared" si="1"/>
        <v>0</v>
      </c>
      <c r="W15" s="1727">
        <f t="shared" si="2"/>
        <v>0</v>
      </c>
      <c r="X15" s="1743">
        <f t="shared" si="3"/>
        <v>0</v>
      </c>
      <c r="Y15" s="1728">
        <f t="shared" si="4"/>
        <v>0</v>
      </c>
      <c r="Z15" s="1769">
        <f t="shared" si="6"/>
        <v>0</v>
      </c>
      <c r="AA15" s="1770">
        <f t="shared" si="5"/>
        <v>0</v>
      </c>
      <c r="AB15" s="1972"/>
      <c r="AC15" s="1972"/>
      <c r="AD15" s="1972"/>
      <c r="AE15" s="1972"/>
      <c r="AF15" s="1972"/>
      <c r="AG15" s="1972"/>
      <c r="AH15" s="1972"/>
      <c r="AI15" s="1972"/>
      <c r="AJ15" s="1972"/>
      <c r="AK15" s="1972"/>
      <c r="AL15" s="1972"/>
      <c r="AM15" s="1972"/>
      <c r="AN15" s="1972"/>
      <c r="AO15" s="1972"/>
      <c r="AQ15" s="1984">
        <f>E15</f>
        <v>9500</v>
      </c>
      <c r="AY15" s="1731"/>
    </row>
    <row r="16" spans="1:54" s="1726" customFormat="1" x14ac:dyDescent="0.2">
      <c r="A16" s="252">
        <v>8</v>
      </c>
      <c r="B16" s="1763" t="s">
        <v>402</v>
      </c>
      <c r="C16" s="2008">
        <f>C13</f>
        <v>5</v>
      </c>
      <c r="D16" s="2008">
        <v>2000</v>
      </c>
      <c r="E16" s="2008">
        <f>D16*C16</f>
        <v>10000</v>
      </c>
      <c r="F16" s="2008"/>
      <c r="G16" s="1723"/>
      <c r="H16" s="1818"/>
      <c r="I16" s="1952"/>
      <c r="J16" s="1972"/>
      <c r="K16" s="252"/>
      <c r="L16" s="1763" t="s">
        <v>402</v>
      </c>
      <c r="M16" s="2008">
        <f>M13</f>
        <v>5</v>
      </c>
      <c r="N16" s="2008">
        <v>2000</v>
      </c>
      <c r="O16" s="2008">
        <f>N16*M16</f>
        <v>10000</v>
      </c>
      <c r="P16" s="2008"/>
      <c r="Q16" s="1723"/>
      <c r="R16" s="1818"/>
      <c r="S16" s="1952"/>
      <c r="T16" s="1972"/>
      <c r="U16" s="1727">
        <f t="shared" si="0"/>
        <v>0</v>
      </c>
      <c r="V16" s="1727">
        <f t="shared" si="1"/>
        <v>0</v>
      </c>
      <c r="W16" s="1727">
        <f t="shared" si="2"/>
        <v>0</v>
      </c>
      <c r="X16" s="1743">
        <f t="shared" si="3"/>
        <v>0</v>
      </c>
      <c r="Y16" s="1728">
        <f t="shared" si="4"/>
        <v>0</v>
      </c>
      <c r="Z16" s="1769">
        <f t="shared" si="6"/>
        <v>0</v>
      </c>
      <c r="AA16" s="1770">
        <f t="shared" si="5"/>
        <v>0</v>
      </c>
      <c r="AB16" s="1972"/>
      <c r="AC16" s="1972"/>
      <c r="AD16" s="1972"/>
      <c r="AE16" s="1972"/>
      <c r="AF16" s="1972"/>
      <c r="AG16" s="1972"/>
      <c r="AH16" s="1972"/>
      <c r="AI16" s="1972"/>
      <c r="AJ16" s="1972"/>
      <c r="AK16" s="1972"/>
      <c r="AL16" s="1972"/>
      <c r="AM16" s="1972"/>
      <c r="AN16" s="1972"/>
      <c r="AO16" s="1972"/>
      <c r="AY16" s="1930">
        <f>E16</f>
        <v>10000</v>
      </c>
    </row>
    <row r="17" spans="1:54" s="1726" customFormat="1" x14ac:dyDescent="0.2">
      <c r="A17" s="252"/>
      <c r="B17" s="1763"/>
      <c r="C17" s="2008"/>
      <c r="D17" s="2008"/>
      <c r="E17" s="2008"/>
      <c r="F17" s="2008"/>
      <c r="G17" s="1723"/>
      <c r="H17" s="1818"/>
      <c r="I17" s="1952"/>
      <c r="J17" s="1972"/>
      <c r="K17" s="252"/>
      <c r="L17" s="1763"/>
      <c r="M17" s="2008"/>
      <c r="N17" s="2008"/>
      <c r="O17" s="2008"/>
      <c r="P17" s="2008"/>
      <c r="Q17" s="1723"/>
      <c r="R17" s="1818"/>
      <c r="S17" s="1952"/>
      <c r="T17" s="1972"/>
      <c r="U17" s="1727"/>
      <c r="V17" s="1727"/>
      <c r="W17" s="1727"/>
      <c r="X17" s="1743"/>
      <c r="Y17" s="1728"/>
      <c r="Z17" s="1769"/>
      <c r="AA17" s="1770"/>
      <c r="AB17" s="1972"/>
      <c r="AC17" s="1972"/>
      <c r="AD17" s="1972"/>
      <c r="AE17" s="1972"/>
      <c r="AF17" s="1972"/>
      <c r="AG17" s="1972"/>
      <c r="AH17" s="1972"/>
      <c r="AI17" s="1972"/>
      <c r="AJ17" s="1972"/>
      <c r="AK17" s="1972"/>
      <c r="AL17" s="1972"/>
      <c r="AM17" s="1972"/>
      <c r="AN17" s="1972"/>
      <c r="AO17" s="1972"/>
      <c r="AY17" s="1930"/>
    </row>
    <row r="18" spans="1:54" s="1726" customFormat="1" ht="25.5" x14ac:dyDescent="0.2">
      <c r="A18" s="252"/>
      <c r="B18" s="2010" t="s">
        <v>119</v>
      </c>
      <c r="C18" s="2006"/>
      <c r="D18" s="2006"/>
      <c r="E18" s="2007"/>
      <c r="F18" s="2007"/>
      <c r="G18" s="1723"/>
      <c r="H18" s="1818"/>
      <c r="I18" s="1952"/>
      <c r="J18" s="1972"/>
      <c r="K18" s="252"/>
      <c r="L18" s="2010" t="s">
        <v>119</v>
      </c>
      <c r="M18" s="2006">
        <v>1</v>
      </c>
      <c r="N18" s="2006"/>
      <c r="O18" s="2007"/>
      <c r="P18" s="2007"/>
      <c r="Q18" s="1723"/>
      <c r="R18" s="1818"/>
      <c r="S18" s="1952"/>
      <c r="T18" s="1972"/>
      <c r="U18" s="1727">
        <f t="shared" ref="U18:AA21" si="7">M18-C18</f>
        <v>1</v>
      </c>
      <c r="V18" s="1727">
        <f t="shared" si="7"/>
        <v>0</v>
      </c>
      <c r="W18" s="1727">
        <f t="shared" si="7"/>
        <v>0</v>
      </c>
      <c r="X18" s="1743">
        <f t="shared" si="7"/>
        <v>0</v>
      </c>
      <c r="Y18" s="1728">
        <f t="shared" si="7"/>
        <v>0</v>
      </c>
      <c r="Z18" s="1769">
        <f t="shared" si="7"/>
        <v>0</v>
      </c>
      <c r="AA18" s="1770">
        <f t="shared" si="7"/>
        <v>0</v>
      </c>
      <c r="AB18" s="1972"/>
      <c r="AC18" s="1972"/>
      <c r="AD18" s="1972"/>
      <c r="AE18" s="1972"/>
      <c r="AF18" s="1972"/>
      <c r="AG18" s="1972"/>
      <c r="AH18" s="1972"/>
      <c r="AI18" s="1972"/>
      <c r="AJ18" s="1972"/>
      <c r="AK18" s="1972"/>
      <c r="AL18" s="1972"/>
      <c r="AM18" s="1972"/>
      <c r="AN18" s="1972"/>
      <c r="AO18" s="1972"/>
      <c r="AY18" s="1971"/>
    </row>
    <row r="19" spans="1:54" s="1726" customFormat="1" x14ac:dyDescent="0.2">
      <c r="A19" s="252">
        <v>9</v>
      </c>
      <c r="B19" s="1884" t="s">
        <v>403</v>
      </c>
      <c r="C19" s="2008">
        <v>1</v>
      </c>
      <c r="D19" s="2008">
        <f>800*$J$1</f>
        <v>3040</v>
      </c>
      <c r="E19" s="2008">
        <f>D19*C19</f>
        <v>3040</v>
      </c>
      <c r="F19" s="2008"/>
      <c r="G19" s="1723"/>
      <c r="H19" s="1818"/>
      <c r="I19" s="1952"/>
      <c r="K19" s="185"/>
      <c r="L19" s="1884" t="s">
        <v>403</v>
      </c>
      <c r="M19" s="2008">
        <v>1</v>
      </c>
      <c r="N19" s="2008">
        <f>800*$J$1</f>
        <v>3040</v>
      </c>
      <c r="O19" s="2008">
        <f>N19*M19</f>
        <v>3040</v>
      </c>
      <c r="P19" s="2008"/>
      <c r="Q19" s="1723"/>
      <c r="R19" s="1818"/>
      <c r="S19" s="1952"/>
      <c r="U19" s="1727">
        <f t="shared" si="7"/>
        <v>0</v>
      </c>
      <c r="V19" s="1727">
        <f t="shared" si="7"/>
        <v>0</v>
      </c>
      <c r="W19" s="1727">
        <f t="shared" si="7"/>
        <v>0</v>
      </c>
      <c r="X19" s="1743">
        <f t="shared" si="7"/>
        <v>0</v>
      </c>
      <c r="Y19" s="1728">
        <f t="shared" si="7"/>
        <v>0</v>
      </c>
      <c r="Z19" s="1769">
        <f t="shared" si="7"/>
        <v>0</v>
      </c>
      <c r="AA19" s="1770">
        <f t="shared" si="7"/>
        <v>0</v>
      </c>
      <c r="AL19" s="1984">
        <f>E19</f>
        <v>3040</v>
      </c>
      <c r="AM19" s="1984"/>
      <c r="AN19" s="1984"/>
      <c r="AY19" s="1971"/>
    </row>
    <row r="20" spans="1:54" ht="38.25" x14ac:dyDescent="0.2">
      <c r="A20" s="252">
        <v>10</v>
      </c>
      <c r="B20" s="1884" t="s">
        <v>404</v>
      </c>
      <c r="C20" s="2008">
        <v>1</v>
      </c>
      <c r="D20" s="2008">
        <f>(90*6+180*5+250)*$J$1</f>
        <v>6422</v>
      </c>
      <c r="E20" s="2008">
        <f>D20*C20</f>
        <v>6422</v>
      </c>
      <c r="F20" s="2008"/>
      <c r="G20" s="1831"/>
      <c r="H20" s="1818"/>
      <c r="I20" s="1952"/>
      <c r="K20" s="252"/>
      <c r="L20" s="1884" t="s">
        <v>404</v>
      </c>
      <c r="M20" s="2008">
        <v>1</v>
      </c>
      <c r="N20" s="2008">
        <f>(90*6+180*5+250)*$J$1</f>
        <v>6422</v>
      </c>
      <c r="O20" s="2008">
        <f>N20*M20</f>
        <v>6422</v>
      </c>
      <c r="P20" s="2008"/>
      <c r="Q20" s="1831"/>
      <c r="R20" s="1818"/>
      <c r="S20" s="1952"/>
      <c r="U20" s="1727">
        <f t="shared" si="7"/>
        <v>0</v>
      </c>
      <c r="V20" s="1727">
        <f t="shared" si="7"/>
        <v>0</v>
      </c>
      <c r="W20" s="1727">
        <f t="shared" si="7"/>
        <v>0</v>
      </c>
      <c r="X20" s="1743">
        <f t="shared" si="7"/>
        <v>0</v>
      </c>
      <c r="Y20" s="1728">
        <f t="shared" si="7"/>
        <v>0</v>
      </c>
      <c r="Z20" s="1769">
        <f t="shared" si="7"/>
        <v>0</v>
      </c>
      <c r="AA20" s="1770">
        <f t="shared" si="7"/>
        <v>0</v>
      </c>
      <c r="AL20" s="1984"/>
      <c r="AM20" s="1984">
        <f>(180*5)*$J$1*C20</f>
        <v>3420</v>
      </c>
      <c r="AN20" s="1984">
        <f>(90*6)*$J$1*C20</f>
        <v>2052</v>
      </c>
      <c r="AU20" s="1731">
        <f>(250)*$J$1</f>
        <v>950</v>
      </c>
      <c r="AY20" s="1726"/>
    </row>
    <row r="21" spans="1:54" s="1971" customFormat="1" ht="38.25" x14ac:dyDescent="0.2">
      <c r="A21" s="252">
        <v>11</v>
      </c>
      <c r="B21" s="1884" t="s">
        <v>123</v>
      </c>
      <c r="C21" s="2008">
        <v>40</v>
      </c>
      <c r="D21" s="2008">
        <v>350</v>
      </c>
      <c r="E21" s="2008">
        <f>D21*C21</f>
        <v>14000</v>
      </c>
      <c r="F21" s="2008"/>
      <c r="G21" s="1723"/>
      <c r="H21" s="1818"/>
      <c r="I21" s="1952"/>
      <c r="K21" s="252"/>
      <c r="L21" s="1884" t="s">
        <v>123</v>
      </c>
      <c r="M21" s="2008">
        <v>40</v>
      </c>
      <c r="N21" s="2008">
        <v>350</v>
      </c>
      <c r="O21" s="2008">
        <f>N21*M21</f>
        <v>14000</v>
      </c>
      <c r="P21" s="2008"/>
      <c r="Q21" s="1723"/>
      <c r="R21" s="1818"/>
      <c r="S21" s="1952"/>
      <c r="U21" s="1727">
        <f t="shared" si="7"/>
        <v>0</v>
      </c>
      <c r="V21" s="1727">
        <f t="shared" si="7"/>
        <v>0</v>
      </c>
      <c r="W21" s="1727">
        <f t="shared" si="7"/>
        <v>0</v>
      </c>
      <c r="X21" s="1743">
        <f t="shared" si="7"/>
        <v>0</v>
      </c>
      <c r="Y21" s="1728">
        <f t="shared" si="7"/>
        <v>0</v>
      </c>
      <c r="Z21" s="1769">
        <f t="shared" si="7"/>
        <v>0</v>
      </c>
      <c r="AA21" s="1770">
        <f t="shared" si="7"/>
        <v>0</v>
      </c>
      <c r="AY21" s="1726"/>
      <c r="AZ21" s="1985">
        <f>E21</f>
        <v>14000</v>
      </c>
      <c r="BA21" s="1985"/>
    </row>
    <row r="22" spans="1:54" s="1971" customFormat="1" x14ac:dyDescent="0.2">
      <c r="A22" s="372"/>
      <c r="B22" s="2123" t="s">
        <v>13</v>
      </c>
      <c r="C22" s="1879"/>
      <c r="D22" s="1879"/>
      <c r="E22" s="1782">
        <f>SUM(E5:E21)</f>
        <v>528678.52</v>
      </c>
      <c r="F22" s="1782"/>
      <c r="G22" s="1964"/>
      <c r="H22" s="329"/>
      <c r="I22" s="1746"/>
      <c r="K22" s="372"/>
      <c r="L22" s="2123" t="s">
        <v>13</v>
      </c>
      <c r="M22" s="1879"/>
      <c r="N22" s="1879"/>
      <c r="O22" s="1782">
        <f>SUM(O5:O21)</f>
        <v>822236.14999999991</v>
      </c>
      <c r="P22" s="1782">
        <f>SUM(P5:P21)</f>
        <v>52286.1</v>
      </c>
      <c r="Q22" s="1782">
        <f>SUM(Q5:Q21)</f>
        <v>0</v>
      </c>
      <c r="R22" s="1782">
        <f>SUM(R5:R21)</f>
        <v>0</v>
      </c>
      <c r="S22" s="1782">
        <f>SUM(S5:S21)</f>
        <v>230186.32</v>
      </c>
      <c r="U22" s="2123" t="s">
        <v>13</v>
      </c>
      <c r="V22" s="1879"/>
      <c r="W22" s="1879"/>
      <c r="X22" s="1782">
        <f>SUM(X8:X21)</f>
        <v>0</v>
      </c>
      <c r="Y22" s="1782"/>
      <c r="Z22" s="1964"/>
      <c r="AA22" s="2599"/>
      <c r="AB22" s="1988"/>
      <c r="AY22" s="1731"/>
    </row>
    <row r="23" spans="1:54" s="1971" customFormat="1" ht="13.5" thickBot="1" x14ac:dyDescent="0.25">
      <c r="A23" s="200"/>
      <c r="B23" s="3266" t="s">
        <v>405</v>
      </c>
      <c r="C23" s="3267"/>
      <c r="D23" s="3267"/>
      <c r="E23" s="3267"/>
      <c r="F23" s="3267"/>
      <c r="G23" s="3267"/>
      <c r="H23" s="3267"/>
      <c r="I23" s="3268"/>
      <c r="O23" s="1985">
        <f>-O22+[1]אנגליה!$O$24</f>
        <v>-12120.649999999907</v>
      </c>
      <c r="AY23" s="1726"/>
    </row>
    <row r="24" spans="1:54" s="1971" customFormat="1" x14ac:dyDescent="0.2">
      <c r="A24" s="201"/>
      <c r="B24" s="1977"/>
      <c r="C24" s="1977"/>
      <c r="D24" s="1977"/>
      <c r="E24" s="1978">
        <f>-E22+[1]אנגליה!$E$24</f>
        <v>0</v>
      </c>
      <c r="F24" s="1977"/>
      <c r="G24" s="2600"/>
      <c r="H24" s="1977"/>
      <c r="I24" s="1977"/>
      <c r="AY24" s="1726"/>
    </row>
    <row r="25" spans="1:54" ht="25.5" hidden="1" x14ac:dyDescent="0.2">
      <c r="A25" s="369">
        <v>2</v>
      </c>
      <c r="B25" s="1948" t="s">
        <v>61</v>
      </c>
      <c r="C25" s="3216" t="s">
        <v>398</v>
      </c>
      <c r="D25" s="3216"/>
      <c r="E25" s="3216"/>
      <c r="F25" s="1937"/>
      <c r="G25" s="1949"/>
      <c r="H25" s="3217" t="s">
        <v>88</v>
      </c>
      <c r="I25" s="3218"/>
      <c r="K25" s="410">
        <v>2</v>
      </c>
      <c r="L25" s="1948" t="s">
        <v>616</v>
      </c>
      <c r="M25" s="3265" t="s">
        <v>601</v>
      </c>
      <c r="N25" s="3265"/>
      <c r="O25" s="3265"/>
      <c r="P25" s="3265"/>
      <c r="Q25" s="1949"/>
      <c r="R25" s="3217" t="s">
        <v>88</v>
      </c>
      <c r="S25" s="3218"/>
      <c r="U25" s="3216" t="s">
        <v>506</v>
      </c>
      <c r="V25" s="3216"/>
      <c r="W25" s="3216"/>
      <c r="X25" s="1937"/>
      <c r="Y25" s="1939"/>
      <c r="Z25" s="3217" t="s">
        <v>88</v>
      </c>
      <c r="AA25" s="3218"/>
      <c r="AY25" s="1726"/>
    </row>
    <row r="26" spans="1:54" s="1971" customFormat="1" ht="38.25" hidden="1" x14ac:dyDescent="0.2">
      <c r="A26" s="370"/>
      <c r="B26" s="1831" t="s">
        <v>89</v>
      </c>
      <c r="C26" s="590" t="s">
        <v>90</v>
      </c>
      <c r="D26" s="590" t="s">
        <v>91</v>
      </c>
      <c r="E26" s="590" t="s">
        <v>105</v>
      </c>
      <c r="F26" s="590" t="s">
        <v>106</v>
      </c>
      <c r="G26" s="1723"/>
      <c r="H26" s="1831" t="s">
        <v>54</v>
      </c>
      <c r="I26" s="1909" t="s">
        <v>92</v>
      </c>
      <c r="K26" s="582"/>
      <c r="L26" s="590" t="s">
        <v>89</v>
      </c>
      <c r="M26" s="590" t="s">
        <v>54</v>
      </c>
      <c r="N26" s="590" t="s">
        <v>91</v>
      </c>
      <c r="O26" s="590" t="s">
        <v>105</v>
      </c>
      <c r="P26" s="590" t="s">
        <v>106</v>
      </c>
      <c r="Q26" s="1723"/>
      <c r="R26" s="1831" t="s">
        <v>54</v>
      </c>
      <c r="S26" s="1909" t="s">
        <v>92</v>
      </c>
      <c r="U26" s="590" t="s">
        <v>90</v>
      </c>
      <c r="V26" s="590" t="s">
        <v>91</v>
      </c>
      <c r="W26" s="1830" t="s">
        <v>507</v>
      </c>
      <c r="X26" s="590"/>
      <c r="Y26" s="1766"/>
      <c r="Z26" s="1831" t="s">
        <v>54</v>
      </c>
      <c r="AA26" s="1832" t="s">
        <v>507</v>
      </c>
      <c r="AY26" s="1726"/>
    </row>
    <row r="27" spans="1:54" s="1971" customFormat="1" ht="15" hidden="1" customHeight="1" x14ac:dyDescent="0.2">
      <c r="A27" s="252"/>
      <c r="B27" s="1899"/>
      <c r="C27" s="1899"/>
      <c r="D27" s="1899"/>
      <c r="E27" s="1899"/>
      <c r="F27" s="1899"/>
      <c r="G27" s="1891"/>
      <c r="H27" s="1891"/>
      <c r="I27" s="2594"/>
      <c r="K27" s="421"/>
      <c r="L27" s="1899"/>
      <c r="M27" s="557"/>
      <c r="N27" s="1899"/>
      <c r="O27" s="1899"/>
      <c r="P27" s="1899"/>
      <c r="Q27" s="1891"/>
      <c r="R27" s="1891"/>
      <c r="S27" s="2594"/>
      <c r="U27" s="1727"/>
      <c r="V27" s="1727"/>
      <c r="W27" s="1727"/>
      <c r="X27" s="1743"/>
      <c r="Y27" s="1728"/>
      <c r="Z27" s="1769"/>
      <c r="AA27" s="1770"/>
    </row>
    <row r="28" spans="1:54" s="1971" customFormat="1" hidden="1" x14ac:dyDescent="0.2">
      <c r="A28" s="252"/>
      <c r="B28" s="2002"/>
      <c r="C28" s="1903"/>
      <c r="D28" s="1903"/>
      <c r="E28" s="1903"/>
      <c r="F28" s="1903"/>
      <c r="G28" s="1891"/>
      <c r="H28" s="1891"/>
      <c r="I28" s="2595"/>
      <c r="K28" s="421"/>
      <c r="L28" s="2002"/>
      <c r="M28" s="557"/>
      <c r="N28" s="1903"/>
      <c r="O28" s="1903"/>
      <c r="P28" s="1903"/>
      <c r="Q28" s="1891"/>
      <c r="R28" s="1891"/>
      <c r="S28" s="2596"/>
      <c r="U28" s="1727"/>
      <c r="V28" s="1727"/>
      <c r="W28" s="1727"/>
      <c r="X28" s="1743"/>
      <c r="Y28" s="1728"/>
      <c r="Z28" s="1769"/>
      <c r="AA28" s="1770"/>
      <c r="AP28" s="1985"/>
      <c r="AY28" s="1731"/>
    </row>
    <row r="29" spans="1:54" s="1971" customFormat="1" hidden="1" x14ac:dyDescent="0.2">
      <c r="A29" s="252"/>
      <c r="B29" s="2002"/>
      <c r="C29" s="1903"/>
      <c r="D29" s="1903"/>
      <c r="E29" s="1903"/>
      <c r="F29" s="1903"/>
      <c r="G29" s="1891"/>
      <c r="H29" s="1891"/>
      <c r="I29" s="2597"/>
      <c r="K29" s="421"/>
      <c r="L29" s="2002"/>
      <c r="M29" s="1903"/>
      <c r="N29" s="1903"/>
      <c r="O29" s="2598"/>
      <c r="P29" s="2598"/>
      <c r="Q29" s="1891"/>
      <c r="R29" s="1891"/>
      <c r="S29" s="2596"/>
      <c r="U29" s="1727"/>
      <c r="V29" s="1727"/>
      <c r="W29" s="1727"/>
      <c r="X29" s="1743"/>
      <c r="Y29" s="1728"/>
      <c r="Z29" s="1769"/>
      <c r="AA29" s="1770"/>
      <c r="AY29" s="1731"/>
      <c r="BB29" s="1985"/>
    </row>
    <row r="30" spans="1:54" s="1971" customFormat="1" hidden="1" x14ac:dyDescent="0.2">
      <c r="A30" s="252"/>
      <c r="B30" s="2002"/>
      <c r="C30" s="1903"/>
      <c r="D30" s="1903"/>
      <c r="E30" s="1903"/>
      <c r="F30" s="1903"/>
      <c r="G30" s="1891"/>
      <c r="H30" s="1891"/>
      <c r="I30" s="2597"/>
      <c r="K30" s="421"/>
      <c r="L30" s="2002"/>
      <c r="M30" s="1903"/>
      <c r="N30" s="1903"/>
      <c r="O30" s="2598"/>
      <c r="P30" s="2598"/>
      <c r="Q30" s="1891"/>
      <c r="R30" s="1891"/>
      <c r="S30" s="2597"/>
      <c r="U30" s="1727"/>
      <c r="V30" s="1727"/>
      <c r="W30" s="1727"/>
      <c r="X30" s="1743"/>
      <c r="Y30" s="1728"/>
      <c r="Z30" s="1769"/>
      <c r="AA30" s="1770"/>
      <c r="AY30" s="1731"/>
      <c r="BB30" s="1985"/>
    </row>
    <row r="31" spans="1:54" s="1971" customFormat="1" hidden="1" x14ac:dyDescent="0.2">
      <c r="A31" s="372"/>
      <c r="B31" s="2123" t="s">
        <v>13</v>
      </c>
      <c r="C31" s="1879"/>
      <c r="D31" s="1879"/>
      <c r="E31" s="1782">
        <f>SUM(E28:E29)</f>
        <v>0</v>
      </c>
      <c r="F31" s="1782">
        <f>SUM(F28:F29)</f>
        <v>0</v>
      </c>
      <c r="G31" s="1782">
        <f>SUM(G28:G29)</f>
        <v>0</v>
      </c>
      <c r="H31" s="1782">
        <f>SUM(H28:H29)</f>
        <v>0</v>
      </c>
      <c r="I31" s="1782">
        <f>SUM(I28:I29)</f>
        <v>0</v>
      </c>
      <c r="K31" s="583"/>
      <c r="L31" s="1778" t="s">
        <v>13</v>
      </c>
      <c r="M31" s="2510"/>
      <c r="N31" s="2510"/>
      <c r="O31" s="2510">
        <f>SUM(O28:O30)</f>
        <v>0</v>
      </c>
      <c r="P31" s="2510">
        <f>SUM(P28:P30)</f>
        <v>0</v>
      </c>
      <c r="Q31" s="1782">
        <f>SUM(Q28:Q29)</f>
        <v>0</v>
      </c>
      <c r="R31" s="1782">
        <f>SUM(R28:R29)</f>
        <v>0</v>
      </c>
      <c r="S31" s="1782">
        <f>SUM(S28:S29)</f>
        <v>0</v>
      </c>
      <c r="U31" s="2510"/>
      <c r="V31" s="2510"/>
      <c r="W31" s="2510">
        <f>SUM(W28:W30)</f>
        <v>0</v>
      </c>
      <c r="X31" s="2510">
        <f>SUM(X28:X30)</f>
        <v>0</v>
      </c>
      <c r="Y31" s="1782">
        <f>SUM(Y28:Y29)</f>
        <v>0</v>
      </c>
      <c r="Z31" s="1782">
        <f>SUM(Z28:Z29)</f>
        <v>0</v>
      </c>
      <c r="AA31" s="1782">
        <f>SUM(AA28:AA29)</f>
        <v>0</v>
      </c>
    </row>
    <row r="32" spans="1:54" ht="13.5" hidden="1" thickBot="1" x14ac:dyDescent="0.25">
      <c r="A32" s="375"/>
      <c r="B32" s="2601" t="s">
        <v>409</v>
      </c>
      <c r="C32" s="2602"/>
      <c r="D32" s="2602"/>
      <c r="E32" s="2603"/>
      <c r="F32" s="2603"/>
      <c r="G32" s="2604"/>
      <c r="H32" s="2098"/>
      <c r="I32" s="2605"/>
      <c r="AY32" s="1971"/>
    </row>
    <row r="33" spans="1:53" ht="13.5" thickBot="1" x14ac:dyDescent="0.25">
      <c r="B33" s="2070"/>
      <c r="C33" s="1971"/>
      <c r="D33" s="1971"/>
      <c r="E33" s="2035"/>
      <c r="F33" s="2035"/>
      <c r="H33" s="1971"/>
      <c r="I33" s="1971"/>
    </row>
    <row r="34" spans="1:53" ht="15" customHeight="1" x14ac:dyDescent="0.2">
      <c r="A34" s="369">
        <v>3</v>
      </c>
      <c r="B34" s="2000" t="s">
        <v>62</v>
      </c>
      <c r="C34" s="3216" t="s">
        <v>410</v>
      </c>
      <c r="D34" s="3216"/>
      <c r="E34" s="3216"/>
      <c r="F34" s="1937"/>
      <c r="G34" s="1949"/>
      <c r="H34" s="3217" t="s">
        <v>88</v>
      </c>
      <c r="I34" s="3218"/>
      <c r="J34" s="1971"/>
      <c r="K34" s="369">
        <v>3</v>
      </c>
      <c r="L34" s="2000" t="s">
        <v>62</v>
      </c>
      <c r="M34" s="3216" t="s">
        <v>812</v>
      </c>
      <c r="N34" s="3216"/>
      <c r="O34" s="3216"/>
      <c r="P34" s="1937"/>
      <c r="Q34" s="1949"/>
      <c r="R34" s="3217" t="s">
        <v>88</v>
      </c>
      <c r="S34" s="3218"/>
      <c r="U34" s="3216" t="s">
        <v>506</v>
      </c>
      <c r="V34" s="3216"/>
      <c r="W34" s="3216"/>
      <c r="X34" s="1937"/>
      <c r="Y34" s="1939"/>
      <c r="Z34" s="3217" t="s">
        <v>88</v>
      </c>
      <c r="AA34" s="3218"/>
      <c r="AY34" s="1971"/>
    </row>
    <row r="35" spans="1:53" ht="38.25" x14ac:dyDescent="0.2">
      <c r="A35" s="370"/>
      <c r="B35" s="1831" t="s">
        <v>89</v>
      </c>
      <c r="C35" s="1831" t="s">
        <v>54</v>
      </c>
      <c r="D35" s="590" t="s">
        <v>91</v>
      </c>
      <c r="E35" s="590" t="s">
        <v>92</v>
      </c>
      <c r="F35" s="590"/>
      <c r="G35" s="1723"/>
      <c r="H35" s="1831" t="s">
        <v>54</v>
      </c>
      <c r="I35" s="1909" t="s">
        <v>92</v>
      </c>
      <c r="J35" s="1971"/>
      <c r="K35" s="370"/>
      <c r="L35" s="1831" t="s">
        <v>89</v>
      </c>
      <c r="M35" s="590" t="s">
        <v>54</v>
      </c>
      <c r="N35" s="590" t="s">
        <v>91</v>
      </c>
      <c r="O35" s="590" t="s">
        <v>92</v>
      </c>
      <c r="P35" s="590"/>
      <c r="Q35" s="1723"/>
      <c r="R35" s="1831" t="s">
        <v>54</v>
      </c>
      <c r="S35" s="1909" t="s">
        <v>92</v>
      </c>
      <c r="U35" s="590" t="s">
        <v>90</v>
      </c>
      <c r="V35" s="590" t="s">
        <v>91</v>
      </c>
      <c r="W35" s="1830" t="s">
        <v>507</v>
      </c>
      <c r="X35" s="590"/>
      <c r="Y35" s="1766"/>
      <c r="Z35" s="1831" t="s">
        <v>54</v>
      </c>
      <c r="AA35" s="1832" t="s">
        <v>507</v>
      </c>
      <c r="AY35" s="1971"/>
    </row>
    <row r="36" spans="1:53" s="1881" customFormat="1" x14ac:dyDescent="0.2">
      <c r="A36" s="185"/>
      <c r="B36" s="2010" t="s">
        <v>772</v>
      </c>
      <c r="C36" s="2606">
        <v>5</v>
      </c>
      <c r="D36" s="1872"/>
      <c r="E36" s="2606"/>
      <c r="F36" s="2606"/>
      <c r="G36" s="1869"/>
      <c r="H36" s="340"/>
      <c r="I36" s="341"/>
      <c r="J36" s="2607"/>
      <c r="K36" s="185"/>
      <c r="L36" s="2010" t="s">
        <v>772</v>
      </c>
      <c r="M36" s="2606">
        <v>8</v>
      </c>
      <c r="N36" s="1872"/>
      <c r="O36" s="2606"/>
      <c r="P36" s="1899"/>
      <c r="Q36" s="1869"/>
      <c r="R36" s="340"/>
      <c r="S36" s="341"/>
      <c r="U36" s="1743"/>
      <c r="V36" s="1743"/>
      <c r="W36" s="1743"/>
      <c r="X36" s="1743"/>
      <c r="Y36" s="1744"/>
      <c r="Z36" s="2057"/>
      <c r="AA36" s="2058"/>
      <c r="AL36" s="1994"/>
      <c r="AM36" s="1994"/>
      <c r="AN36" s="1994"/>
      <c r="AY36" s="2607"/>
    </row>
    <row r="37" spans="1:53" ht="25.5" x14ac:dyDescent="0.2">
      <c r="A37" s="252">
        <v>14</v>
      </c>
      <c r="B37" s="1763" t="s">
        <v>411</v>
      </c>
      <c r="C37" s="1882">
        <f>C36</f>
        <v>5</v>
      </c>
      <c r="D37" s="1883">
        <f>750*J1</f>
        <v>2850</v>
      </c>
      <c r="E37" s="1882">
        <f>+D37*C37</f>
        <v>14250</v>
      </c>
      <c r="F37" s="1882"/>
      <c r="G37" s="1723"/>
      <c r="H37" s="331"/>
      <c r="I37" s="330"/>
      <c r="J37" s="1971"/>
      <c r="K37" s="252"/>
      <c r="L37" s="1763" t="s">
        <v>411</v>
      </c>
      <c r="M37" s="1882">
        <f>M36</f>
        <v>8</v>
      </c>
      <c r="N37" s="1883">
        <f>750*J1</f>
        <v>2850</v>
      </c>
      <c r="O37" s="1882">
        <f>+N37*M37</f>
        <v>22800</v>
      </c>
      <c r="P37" s="1899"/>
      <c r="Q37" s="1723"/>
      <c r="R37" s="331"/>
      <c r="S37" s="330"/>
      <c r="U37" s="1727">
        <f t="shared" ref="U37:Y39" si="8">M37-C37</f>
        <v>3</v>
      </c>
      <c r="V37" s="1727">
        <f t="shared" si="8"/>
        <v>0</v>
      </c>
      <c r="W37" s="1727">
        <f t="shared" si="8"/>
        <v>8550</v>
      </c>
      <c r="X37" s="1743">
        <f t="shared" si="8"/>
        <v>0</v>
      </c>
      <c r="Y37" s="1728">
        <f t="shared" si="8"/>
        <v>0</v>
      </c>
      <c r="Z37" s="1769"/>
      <c r="AA37" s="1770">
        <f>S37-I37</f>
        <v>0</v>
      </c>
      <c r="AL37" s="1930">
        <f>E37</f>
        <v>14250</v>
      </c>
      <c r="AM37" s="1930"/>
      <c r="AN37" s="1930"/>
      <c r="AY37" s="1971"/>
    </row>
    <row r="38" spans="1:53" ht="38.25" x14ac:dyDescent="0.2">
      <c r="A38" s="252">
        <v>15</v>
      </c>
      <c r="B38" s="1763" t="s">
        <v>412</v>
      </c>
      <c r="C38" s="1882">
        <f>C36*8</f>
        <v>40</v>
      </c>
      <c r="D38" s="1883">
        <f>+(200+180+50)*J1</f>
        <v>1634</v>
      </c>
      <c r="E38" s="1882">
        <f>+D38*C38</f>
        <v>65360</v>
      </c>
      <c r="F38" s="1882"/>
      <c r="G38" s="1723"/>
      <c r="H38" s="331"/>
      <c r="I38" s="330"/>
      <c r="J38" s="1971"/>
      <c r="K38" s="252"/>
      <c r="L38" s="1763" t="s">
        <v>412</v>
      </c>
      <c r="M38" s="1882">
        <f>M36*8</f>
        <v>64</v>
      </c>
      <c r="N38" s="1883">
        <f>+(200+180+50)*J1</f>
        <v>1634</v>
      </c>
      <c r="O38" s="1882">
        <f>+N38*M38</f>
        <v>104576</v>
      </c>
      <c r="P38" s="1899"/>
      <c r="Q38" s="1723"/>
      <c r="R38" s="331"/>
      <c r="S38" s="330"/>
      <c r="U38" s="1727">
        <f t="shared" si="8"/>
        <v>24</v>
      </c>
      <c r="V38" s="1727">
        <f t="shared" si="8"/>
        <v>0</v>
      </c>
      <c r="W38" s="1727">
        <f t="shared" si="8"/>
        <v>39216</v>
      </c>
      <c r="X38" s="1743">
        <f t="shared" si="8"/>
        <v>0</v>
      </c>
      <c r="Y38" s="1728">
        <f t="shared" si="8"/>
        <v>0</v>
      </c>
      <c r="Z38" s="1769"/>
      <c r="AA38" s="1770">
        <f>S38-I38</f>
        <v>0</v>
      </c>
      <c r="AL38" s="1930"/>
      <c r="AM38" s="1930">
        <f>+(180)*J1*C38</f>
        <v>27360</v>
      </c>
      <c r="AN38" s="1930">
        <f>+(50)*J1*C38</f>
        <v>7600</v>
      </c>
      <c r="AY38" s="1971"/>
      <c r="AZ38" s="1930">
        <f>+(200)*J1*C38</f>
        <v>30400</v>
      </c>
      <c r="BA38" s="1930"/>
    </row>
    <row r="39" spans="1:53" ht="51" x14ac:dyDescent="0.2">
      <c r="A39" s="252">
        <v>16</v>
      </c>
      <c r="B39" s="1763" t="s">
        <v>837</v>
      </c>
      <c r="C39" s="1883">
        <f>C36</f>
        <v>5</v>
      </c>
      <c r="D39" s="1883">
        <f>7000+800*J1</f>
        <v>10040</v>
      </c>
      <c r="E39" s="1883">
        <f>D39*C39</f>
        <v>50200</v>
      </c>
      <c r="F39" s="1883"/>
      <c r="G39" s="1723"/>
      <c r="H39" s="331"/>
      <c r="I39" s="330"/>
      <c r="J39" s="1971"/>
      <c r="K39" s="252"/>
      <c r="L39" s="1763" t="s">
        <v>837</v>
      </c>
      <c r="M39" s="1883">
        <f>M36</f>
        <v>8</v>
      </c>
      <c r="N39" s="1883">
        <f>7000+800*J1</f>
        <v>10040</v>
      </c>
      <c r="O39" s="1883">
        <f>N39*M39</f>
        <v>80320</v>
      </c>
      <c r="P39" s="1899"/>
      <c r="Q39" s="1723"/>
      <c r="R39" s="331"/>
      <c r="S39" s="330"/>
      <c r="U39" s="1727">
        <f t="shared" si="8"/>
        <v>3</v>
      </c>
      <c r="V39" s="1727">
        <f t="shared" si="8"/>
        <v>0</v>
      </c>
      <c r="W39" s="1727">
        <f t="shared" si="8"/>
        <v>30120</v>
      </c>
      <c r="X39" s="1743">
        <f t="shared" si="8"/>
        <v>0</v>
      </c>
      <c r="Y39" s="1728">
        <f t="shared" si="8"/>
        <v>0</v>
      </c>
      <c r="Z39" s="1769">
        <f>R39-H39</f>
        <v>0</v>
      </c>
      <c r="AA39" s="1770">
        <f>S39-I39</f>
        <v>0</v>
      </c>
      <c r="AS39" s="1930">
        <f>E39</f>
        <v>50200</v>
      </c>
    </row>
    <row r="40" spans="1:53" ht="14.25" customHeight="1" thickBot="1" x14ac:dyDescent="0.25">
      <c r="A40" s="383"/>
      <c r="B40" s="2561" t="s">
        <v>13</v>
      </c>
      <c r="C40" s="2026"/>
      <c r="D40" s="2026"/>
      <c r="E40" s="1864">
        <f>SUM(E37:E39)</f>
        <v>129810</v>
      </c>
      <c r="F40" s="1864"/>
      <c r="G40" s="2027"/>
      <c r="H40" s="1760"/>
      <c r="I40" s="1761"/>
      <c r="J40" s="1971"/>
      <c r="K40" s="383"/>
      <c r="L40" s="2561" t="s">
        <v>13</v>
      </c>
      <c r="M40" s="2512"/>
      <c r="N40" s="2512"/>
      <c r="O40" s="2537">
        <f>SUM(O37:O39)</f>
        <v>207696</v>
      </c>
      <c r="P40" s="2537"/>
      <c r="Q40" s="2027"/>
      <c r="R40" s="1760"/>
      <c r="S40" s="1761"/>
      <c r="U40" s="2510"/>
      <c r="V40" s="2510"/>
      <c r="W40" s="2510">
        <f>SUM(W38:W39)</f>
        <v>69336</v>
      </c>
      <c r="X40" s="2510">
        <f>SUM(X38:X39)</f>
        <v>0</v>
      </c>
      <c r="Y40" s="1782">
        <f>SUM(Y38:Y39)</f>
        <v>0</v>
      </c>
      <c r="Z40" s="1782">
        <f>SUM(Z38:Z39)</f>
        <v>0</v>
      </c>
      <c r="AA40" s="1782">
        <f>SUM(AA38:AA39)</f>
        <v>0</v>
      </c>
      <c r="AY40" s="1971"/>
    </row>
    <row r="41" spans="1:53" s="1726" customFormat="1" ht="14.25" customHeight="1" x14ac:dyDescent="0.2">
      <c r="A41" s="303"/>
      <c r="B41" s="2070"/>
      <c r="C41" s="1971"/>
      <c r="D41" s="1971"/>
      <c r="E41" s="2035"/>
      <c r="F41" s="2035"/>
      <c r="G41" s="1731"/>
      <c r="H41" s="1971"/>
      <c r="I41" s="1971"/>
      <c r="J41" s="1972"/>
      <c r="AY41" s="1971"/>
    </row>
    <row r="42" spans="1:53" ht="13.5" thickBot="1" x14ac:dyDescent="0.25">
      <c r="A42" s="586"/>
      <c r="B42" s="2608"/>
      <c r="C42" s="2608"/>
      <c r="D42" s="2608"/>
      <c r="E42" s="2608"/>
      <c r="F42" s="2608"/>
      <c r="G42" s="2608"/>
      <c r="H42" s="2608"/>
      <c r="I42" s="2608"/>
      <c r="K42" s="586"/>
      <c r="L42" s="2608"/>
      <c r="M42" s="2608"/>
      <c r="N42" s="2608"/>
      <c r="O42" s="2608"/>
      <c r="P42" s="2608"/>
      <c r="Q42" s="2608"/>
      <c r="R42" s="2608"/>
      <c r="S42" s="2608"/>
    </row>
    <row r="43" spans="1:53" x14ac:dyDescent="0.2">
      <c r="A43" s="483"/>
      <c r="B43" s="1936" t="s">
        <v>872</v>
      </c>
      <c r="C43" s="3226" t="s">
        <v>501</v>
      </c>
      <c r="D43" s="3227"/>
      <c r="E43" s="3228"/>
      <c r="F43" s="2106"/>
      <c r="G43" s="2107"/>
      <c r="H43" s="3217" t="s">
        <v>88</v>
      </c>
      <c r="I43" s="3218"/>
      <c r="K43" s="483"/>
      <c r="L43" s="1936" t="s">
        <v>872</v>
      </c>
      <c r="M43" s="3216" t="s">
        <v>812</v>
      </c>
      <c r="N43" s="3216"/>
      <c r="O43" s="3216"/>
      <c r="P43" s="2762"/>
      <c r="Q43" s="2107"/>
      <c r="R43" s="3217" t="s">
        <v>88</v>
      </c>
      <c r="S43" s="3218"/>
      <c r="U43" s="3216" t="s">
        <v>506</v>
      </c>
      <c r="V43" s="3216"/>
      <c r="W43" s="3216"/>
      <c r="X43" s="1937"/>
      <c r="Y43" s="1939"/>
      <c r="Z43" s="3217" t="s">
        <v>88</v>
      </c>
      <c r="AA43" s="3218"/>
    </row>
    <row r="44" spans="1:53" ht="38.25" x14ac:dyDescent="0.2">
      <c r="A44" s="561"/>
      <c r="B44" s="590" t="s">
        <v>89</v>
      </c>
      <c r="C44" s="590" t="s">
        <v>54</v>
      </c>
      <c r="D44" s="590" t="s">
        <v>91</v>
      </c>
      <c r="E44" s="590" t="s">
        <v>92</v>
      </c>
      <c r="F44" s="590"/>
      <c r="G44" s="337"/>
      <c r="H44" s="1831" t="s">
        <v>54</v>
      </c>
      <c r="I44" s="1832" t="s">
        <v>502</v>
      </c>
      <c r="K44" s="561"/>
      <c r="L44" s="590" t="s">
        <v>89</v>
      </c>
      <c r="M44" s="590" t="s">
        <v>54</v>
      </c>
      <c r="N44" s="590" t="s">
        <v>91</v>
      </c>
      <c r="O44" s="590" t="s">
        <v>92</v>
      </c>
      <c r="P44" s="590"/>
      <c r="Q44" s="337"/>
      <c r="R44" s="1831" t="s">
        <v>54</v>
      </c>
      <c r="S44" s="1832" t="s">
        <v>502</v>
      </c>
      <c r="U44" s="590" t="s">
        <v>90</v>
      </c>
      <c r="V44" s="590" t="s">
        <v>91</v>
      </c>
      <c r="W44" s="1830" t="s">
        <v>507</v>
      </c>
      <c r="X44" s="590"/>
      <c r="Y44" s="1766"/>
      <c r="Z44" s="1831" t="s">
        <v>54</v>
      </c>
      <c r="AA44" s="1832" t="s">
        <v>507</v>
      </c>
    </row>
    <row r="45" spans="1:53" ht="25.5" x14ac:dyDescent="0.2">
      <c r="A45" s="586"/>
      <c r="B45" s="2609" t="s">
        <v>617</v>
      </c>
      <c r="C45" s="590"/>
      <c r="D45" s="590"/>
      <c r="E45" s="590"/>
      <c r="F45" s="590"/>
      <c r="G45" s="337"/>
      <c r="H45" s="2610"/>
      <c r="I45" s="2610"/>
      <c r="K45" s="561"/>
      <c r="L45" s="2010" t="s">
        <v>617</v>
      </c>
      <c r="M45" s="2606">
        <v>10</v>
      </c>
      <c r="N45" s="1883"/>
      <c r="O45" s="1882"/>
      <c r="P45" s="1882"/>
      <c r="Q45" s="337"/>
      <c r="R45" s="2610"/>
      <c r="S45" s="2767"/>
      <c r="U45" s="1727">
        <f t="shared" ref="U45:Y49" si="9">M45-C45</f>
        <v>10</v>
      </c>
      <c r="V45" s="1727">
        <f t="shared" si="9"/>
        <v>0</v>
      </c>
      <c r="W45" s="1727">
        <f t="shared" si="9"/>
        <v>0</v>
      </c>
      <c r="X45" s="1743">
        <f t="shared" si="9"/>
        <v>0</v>
      </c>
      <c r="Y45" s="1728">
        <f t="shared" si="9"/>
        <v>0</v>
      </c>
      <c r="Z45" s="1769"/>
      <c r="AA45" s="1770">
        <f>S45-I45</f>
        <v>0</v>
      </c>
    </row>
    <row r="46" spans="1:53" x14ac:dyDescent="0.2">
      <c r="A46" s="586"/>
      <c r="B46" s="2609"/>
      <c r="C46" s="590"/>
      <c r="D46" s="590"/>
      <c r="E46" s="590"/>
      <c r="F46" s="590"/>
      <c r="G46" s="337"/>
      <c r="H46" s="2610"/>
      <c r="I46" s="2610"/>
      <c r="K46" s="561"/>
      <c r="L46" s="2010" t="s">
        <v>891</v>
      </c>
      <c r="M46" s="2606">
        <v>20</v>
      </c>
      <c r="N46" s="1883"/>
      <c r="O46" s="1882"/>
      <c r="P46" s="1882"/>
      <c r="Q46" s="337"/>
      <c r="R46" s="2610"/>
      <c r="S46" s="2767"/>
      <c r="U46" s="1727"/>
      <c r="V46" s="1727"/>
      <c r="W46" s="1727"/>
      <c r="X46" s="1743"/>
      <c r="Y46" s="1728"/>
      <c r="Z46" s="1769"/>
      <c r="AA46" s="1770"/>
    </row>
    <row r="47" spans="1:53" ht="15" customHeight="1" x14ac:dyDescent="0.2">
      <c r="A47" s="586"/>
      <c r="B47" s="1763"/>
      <c r="C47" s="1903">
        <v>0</v>
      </c>
      <c r="D47" s="1903">
        <v>0</v>
      </c>
      <c r="E47" s="1903">
        <f>+D47*C47</f>
        <v>0</v>
      </c>
      <c r="F47" s="1882"/>
      <c r="G47" s="337"/>
      <c r="H47" s="2610"/>
      <c r="I47" s="2610"/>
      <c r="K47" s="561"/>
      <c r="L47" s="1763" t="s">
        <v>618</v>
      </c>
      <c r="M47" s="1882">
        <v>10</v>
      </c>
      <c r="N47" s="1883">
        <v>1000</v>
      </c>
      <c r="O47" s="1882">
        <f>+N47*M47</f>
        <v>10000</v>
      </c>
      <c r="P47" s="1882"/>
      <c r="Q47" s="337"/>
      <c r="R47" s="2610"/>
      <c r="S47" s="2767"/>
      <c r="U47" s="1727">
        <f t="shared" si="9"/>
        <v>10</v>
      </c>
      <c r="V47" s="1727">
        <f t="shared" si="9"/>
        <v>1000</v>
      </c>
      <c r="W47" s="1727">
        <f t="shared" si="9"/>
        <v>10000</v>
      </c>
      <c r="X47" s="1743">
        <f t="shared" si="9"/>
        <v>0</v>
      </c>
      <c r="Y47" s="1728">
        <f t="shared" si="9"/>
        <v>0</v>
      </c>
      <c r="Z47" s="1769"/>
      <c r="AA47" s="1770">
        <f>S47-I47</f>
        <v>0</v>
      </c>
    </row>
    <row r="48" spans="1:53" x14ac:dyDescent="0.2">
      <c r="A48" s="586"/>
      <c r="B48" s="1763"/>
      <c r="C48" s="1903">
        <v>0</v>
      </c>
      <c r="D48" s="1903">
        <v>0</v>
      </c>
      <c r="E48" s="1903">
        <f>+D48*C48</f>
        <v>0</v>
      </c>
      <c r="F48" s="1882"/>
      <c r="G48" s="337"/>
      <c r="H48" s="2610"/>
      <c r="I48" s="2610"/>
      <c r="K48" s="561"/>
      <c r="L48" s="1763" t="s">
        <v>172</v>
      </c>
      <c r="M48" s="1882">
        <v>10</v>
      </c>
      <c r="N48" s="1883">
        <v>1500</v>
      </c>
      <c r="O48" s="1882">
        <f>+N48*M48</f>
        <v>15000</v>
      </c>
      <c r="P48" s="1882"/>
      <c r="Q48" s="337"/>
      <c r="R48" s="2610"/>
      <c r="S48" s="2767"/>
      <c r="U48" s="1727">
        <f t="shared" si="9"/>
        <v>10</v>
      </c>
      <c r="V48" s="1727">
        <f t="shared" si="9"/>
        <v>1500</v>
      </c>
      <c r="W48" s="1727">
        <f t="shared" si="9"/>
        <v>15000</v>
      </c>
      <c r="X48" s="1743">
        <f t="shared" si="9"/>
        <v>0</v>
      </c>
      <c r="Y48" s="1728">
        <f t="shared" si="9"/>
        <v>0</v>
      </c>
      <c r="Z48" s="1769">
        <f>R48-H48</f>
        <v>0</v>
      </c>
      <c r="AA48" s="1770">
        <f>S48-I48</f>
        <v>0</v>
      </c>
    </row>
    <row r="49" spans="1:27" ht="51" x14ac:dyDescent="0.2">
      <c r="A49" s="586"/>
      <c r="B49" s="1763"/>
      <c r="C49" s="1903">
        <v>0</v>
      </c>
      <c r="D49" s="1903">
        <v>0</v>
      </c>
      <c r="E49" s="1903">
        <f>+D49*C49</f>
        <v>0</v>
      </c>
      <c r="F49" s="1883"/>
      <c r="G49" s="337"/>
      <c r="H49" s="2610"/>
      <c r="I49" s="2610"/>
      <c r="K49" s="561"/>
      <c r="L49" s="1763" t="s">
        <v>838</v>
      </c>
      <c r="M49" s="1883">
        <v>10</v>
      </c>
      <c r="N49" s="1883">
        <f>3500+3800</f>
        <v>7300</v>
      </c>
      <c r="O49" s="1882">
        <f>+N49*M49</f>
        <v>73000</v>
      </c>
      <c r="P49" s="1883"/>
      <c r="Q49" s="337"/>
      <c r="R49" s="2610"/>
      <c r="S49" s="2767"/>
      <c r="U49" s="1727">
        <f t="shared" si="9"/>
        <v>10</v>
      </c>
      <c r="V49" s="1727">
        <f t="shared" si="9"/>
        <v>7300</v>
      </c>
      <c r="W49" s="1727">
        <f t="shared" si="9"/>
        <v>73000</v>
      </c>
      <c r="X49" s="1743">
        <f t="shared" si="9"/>
        <v>0</v>
      </c>
      <c r="Y49" s="1728">
        <f t="shared" si="9"/>
        <v>0</v>
      </c>
      <c r="Z49" s="1769">
        <f>R49-H49</f>
        <v>0</v>
      </c>
      <c r="AA49" s="1770">
        <f>S49-I49</f>
        <v>0</v>
      </c>
    </row>
    <row r="50" spans="1:27" ht="13.5" thickBot="1" x14ac:dyDescent="0.25">
      <c r="A50" s="586"/>
      <c r="B50" s="1905" t="s">
        <v>13</v>
      </c>
      <c r="C50" s="2512"/>
      <c r="D50" s="2512"/>
      <c r="E50" s="2513">
        <f>SUM(E47:E49)</f>
        <v>0</v>
      </c>
      <c r="F50" s="2513">
        <f>SUM(F47:F49)</f>
        <v>0</v>
      </c>
      <c r="G50" s="2513"/>
      <c r="H50" s="2513">
        <f>SUM(H47:H49)</f>
        <v>0</v>
      </c>
      <c r="I50" s="2513">
        <f>SUM(I47:I49)</f>
        <v>0</v>
      </c>
      <c r="K50" s="561"/>
      <c r="L50" s="1905" t="s">
        <v>13</v>
      </c>
      <c r="M50" s="2069"/>
      <c r="N50" s="2069"/>
      <c r="O50" s="2510">
        <f>SUM(O47:O49)</f>
        <v>98000</v>
      </c>
      <c r="P50" s="2510">
        <f>SUM(P47:P49)</f>
        <v>0</v>
      </c>
      <c r="Q50" s="2510"/>
      <c r="R50" s="2510">
        <f>SUM(R47:R49)</f>
        <v>0</v>
      </c>
      <c r="S50" s="2768">
        <f>SUM(S47:S49)</f>
        <v>0</v>
      </c>
      <c r="U50" s="1905"/>
      <c r="V50" s="1905"/>
      <c r="W50" s="1905">
        <f>SUM(W47:W49)</f>
        <v>98000</v>
      </c>
      <c r="X50" s="1905">
        <f>SUM(X47:X49)</f>
        <v>0</v>
      </c>
      <c r="Y50" s="1905"/>
      <c r="Z50" s="1905">
        <f>SUM(Z47:Z49)</f>
        <v>0</v>
      </c>
      <c r="AA50" s="1905">
        <f>SUM(AA47:AA49)</f>
        <v>0</v>
      </c>
    </row>
    <row r="51" spans="1:27" ht="33" customHeight="1" thickBot="1" x14ac:dyDescent="0.25">
      <c r="A51" s="586"/>
      <c r="B51" s="3261" t="s">
        <v>619</v>
      </c>
      <c r="C51" s="3261"/>
      <c r="D51" s="3261"/>
      <c r="E51" s="3261"/>
      <c r="F51" s="3261"/>
      <c r="G51" s="3261"/>
      <c r="H51" s="3261"/>
      <c r="I51" s="3261"/>
      <c r="K51" s="481"/>
      <c r="L51" s="3269" t="s">
        <v>619</v>
      </c>
      <c r="M51" s="3269"/>
      <c r="N51" s="3269"/>
      <c r="O51" s="3269"/>
      <c r="P51" s="3269"/>
      <c r="Q51" s="3269"/>
      <c r="R51" s="3269"/>
      <c r="S51" s="3270"/>
    </row>
    <row r="52" spans="1:27" ht="13.5" thickBot="1" x14ac:dyDescent="0.25">
      <c r="A52" s="586"/>
      <c r="B52" s="2608"/>
      <c r="C52" s="2608"/>
      <c r="D52" s="2608"/>
      <c r="E52" s="2608"/>
      <c r="F52" s="2608"/>
      <c r="G52" s="2608"/>
      <c r="H52" s="2608"/>
      <c r="I52" s="2608"/>
      <c r="K52" s="586"/>
      <c r="L52" s="2608"/>
      <c r="M52" s="2608"/>
      <c r="N52" s="2608"/>
      <c r="O52" s="2608"/>
      <c r="P52" s="2608"/>
      <c r="Q52" s="2608"/>
      <c r="R52" s="2608"/>
      <c r="S52" s="2608"/>
    </row>
    <row r="53" spans="1:27" x14ac:dyDescent="0.2">
      <c r="A53" s="2081"/>
      <c r="B53" s="1936" t="s">
        <v>585</v>
      </c>
      <c r="C53" s="3226" t="s">
        <v>501</v>
      </c>
      <c r="D53" s="3227"/>
      <c r="E53" s="3228"/>
      <c r="F53" s="1937"/>
      <c r="G53" s="1938"/>
      <c r="H53" s="3217" t="s">
        <v>88</v>
      </c>
      <c r="I53" s="3218"/>
      <c r="K53" s="2081"/>
      <c r="L53" s="1936" t="s">
        <v>585</v>
      </c>
      <c r="M53" s="3216" t="s">
        <v>812</v>
      </c>
      <c r="N53" s="3216"/>
      <c r="O53" s="3216"/>
      <c r="P53" s="1937"/>
      <c r="Q53" s="1938"/>
      <c r="R53" s="3217" t="s">
        <v>88</v>
      </c>
      <c r="S53" s="3218"/>
      <c r="U53" s="3216" t="s">
        <v>506</v>
      </c>
      <c r="V53" s="3216"/>
      <c r="W53" s="3216"/>
      <c r="X53" s="1937"/>
      <c r="Y53" s="1939"/>
      <c r="Z53" s="3217" t="s">
        <v>88</v>
      </c>
      <c r="AA53" s="3218"/>
    </row>
    <row r="54" spans="1:27" ht="38.25" x14ac:dyDescent="0.2">
      <c r="A54" s="1762"/>
      <c r="B54" s="1830" t="s">
        <v>89</v>
      </c>
      <c r="C54" s="1830" t="s">
        <v>90</v>
      </c>
      <c r="D54" s="1830" t="s">
        <v>91</v>
      </c>
      <c r="E54" s="1830" t="s">
        <v>502</v>
      </c>
      <c r="F54" s="1830" t="s">
        <v>106</v>
      </c>
      <c r="G54" s="1766"/>
      <c r="H54" s="1831" t="s">
        <v>54</v>
      </c>
      <c r="I54" s="1832" t="s">
        <v>502</v>
      </c>
      <c r="K54" s="1762"/>
      <c r="L54" s="1830" t="s">
        <v>89</v>
      </c>
      <c r="M54" s="1830" t="s">
        <v>90</v>
      </c>
      <c r="N54" s="1830" t="s">
        <v>91</v>
      </c>
      <c r="O54" s="1830" t="s">
        <v>502</v>
      </c>
      <c r="P54" s="1830" t="s">
        <v>106</v>
      </c>
      <c r="Q54" s="1766"/>
      <c r="R54" s="1831" t="s">
        <v>54</v>
      </c>
      <c r="S54" s="1832" t="s">
        <v>502</v>
      </c>
      <c r="U54" s="590" t="s">
        <v>90</v>
      </c>
      <c r="V54" s="590" t="s">
        <v>91</v>
      </c>
      <c r="W54" s="1830" t="s">
        <v>507</v>
      </c>
      <c r="X54" s="590"/>
      <c r="Y54" s="1766"/>
      <c r="Z54" s="1831" t="s">
        <v>54</v>
      </c>
      <c r="AA54" s="1832" t="s">
        <v>507</v>
      </c>
    </row>
    <row r="55" spans="1:27" x14ac:dyDescent="0.2">
      <c r="A55" s="1762"/>
      <c r="B55" s="2611"/>
      <c r="C55" s="1903">
        <v>0</v>
      </c>
      <c r="D55" s="1903">
        <v>0</v>
      </c>
      <c r="E55" s="1903">
        <f>+D55*C55</f>
        <v>0</v>
      </c>
      <c r="F55" s="2612"/>
      <c r="G55" s="1767"/>
      <c r="H55" s="1767"/>
      <c r="I55" s="1768"/>
      <c r="K55" s="1762"/>
      <c r="L55" s="2611" t="s">
        <v>592</v>
      </c>
      <c r="M55" s="1899">
        <v>1</v>
      </c>
      <c r="N55" s="1899"/>
      <c r="O55" s="1899"/>
      <c r="P55" s="2612"/>
      <c r="Q55" s="1767"/>
      <c r="R55" s="1767"/>
      <c r="S55" s="1768"/>
      <c r="U55" s="1727">
        <f t="shared" ref="U55:Y59" si="10">M55-C55</f>
        <v>1</v>
      </c>
      <c r="V55" s="1727">
        <f t="shared" si="10"/>
        <v>0</v>
      </c>
      <c r="W55" s="1727">
        <f t="shared" si="10"/>
        <v>0</v>
      </c>
      <c r="X55" s="1743">
        <f t="shared" si="10"/>
        <v>0</v>
      </c>
      <c r="Y55" s="1728">
        <f t="shared" si="10"/>
        <v>0</v>
      </c>
      <c r="Z55" s="1769"/>
      <c r="AA55" s="1770">
        <f>S55-I55</f>
        <v>0</v>
      </c>
    </row>
    <row r="56" spans="1:27" x14ac:dyDescent="0.2">
      <c r="A56" s="1762"/>
      <c r="B56" s="2613"/>
      <c r="C56" s="1903">
        <v>0</v>
      </c>
      <c r="D56" s="1903">
        <v>0</v>
      </c>
      <c r="E56" s="1903">
        <f>+D56*C56</f>
        <v>0</v>
      </c>
      <c r="F56" s="2612"/>
      <c r="G56" s="1767"/>
      <c r="H56" s="1767"/>
      <c r="I56" s="1768"/>
      <c r="K56" s="1762"/>
      <c r="L56" s="2613" t="s">
        <v>417</v>
      </c>
      <c r="M56" s="268">
        <v>8</v>
      </c>
      <c r="N56" s="1959">
        <f>650*$J$1</f>
        <v>2470</v>
      </c>
      <c r="O56" s="268">
        <f>+N56*M56</f>
        <v>19760</v>
      </c>
      <c r="P56" s="2612"/>
      <c r="Q56" s="1767"/>
      <c r="R56" s="1767"/>
      <c r="S56" s="1768"/>
      <c r="U56" s="1727">
        <f t="shared" si="10"/>
        <v>8</v>
      </c>
      <c r="V56" s="1727">
        <f t="shared" si="10"/>
        <v>2470</v>
      </c>
      <c r="W56" s="1727">
        <f t="shared" si="10"/>
        <v>19760</v>
      </c>
      <c r="X56" s="1743">
        <f t="shared" si="10"/>
        <v>0</v>
      </c>
      <c r="Y56" s="1728">
        <f t="shared" si="10"/>
        <v>0</v>
      </c>
      <c r="Z56" s="1769"/>
      <c r="AA56" s="1770">
        <f>S56-I56</f>
        <v>0</v>
      </c>
    </row>
    <row r="57" spans="1:27" ht="25.5" x14ac:dyDescent="0.2">
      <c r="A57" s="1762"/>
      <c r="B57" s="2614"/>
      <c r="C57" s="1903">
        <v>0</v>
      </c>
      <c r="D57" s="1903">
        <v>0</v>
      </c>
      <c r="E57" s="1903">
        <f>+D57*C57</f>
        <v>0</v>
      </c>
      <c r="F57" s="2612"/>
      <c r="G57" s="1767"/>
      <c r="H57" s="1767"/>
      <c r="I57" s="1768"/>
      <c r="K57" s="1762"/>
      <c r="L57" s="2614" t="s">
        <v>593</v>
      </c>
      <c r="M57" s="268">
        <v>8</v>
      </c>
      <c r="N57" s="1959">
        <f>(180*5+90*5+20)*J1</f>
        <v>5206</v>
      </c>
      <c r="O57" s="2615">
        <f>+N57*M57</f>
        <v>41648</v>
      </c>
      <c r="P57" s="2612"/>
      <c r="Q57" s="1767"/>
      <c r="R57" s="1767"/>
      <c r="S57" s="1768"/>
      <c r="U57" s="1727">
        <f t="shared" si="10"/>
        <v>8</v>
      </c>
      <c r="V57" s="1727">
        <f t="shared" si="10"/>
        <v>5206</v>
      </c>
      <c r="W57" s="1727">
        <f t="shared" si="10"/>
        <v>41648</v>
      </c>
      <c r="X57" s="1743">
        <f t="shared" si="10"/>
        <v>0</v>
      </c>
      <c r="Y57" s="1728">
        <f t="shared" si="10"/>
        <v>0</v>
      </c>
      <c r="Z57" s="1769">
        <f>R57-H57</f>
        <v>0</v>
      </c>
      <c r="AA57" s="1770">
        <f>S57-I57</f>
        <v>0</v>
      </c>
    </row>
    <row r="58" spans="1:27" ht="25.5" x14ac:dyDescent="0.2">
      <c r="A58" s="1762"/>
      <c r="B58" s="1771"/>
      <c r="C58" s="1903">
        <v>0</v>
      </c>
      <c r="D58" s="1903">
        <v>0</v>
      </c>
      <c r="E58" s="1903">
        <f>+D58*C58</f>
        <v>0</v>
      </c>
      <c r="F58" s="2612"/>
      <c r="G58" s="1767"/>
      <c r="H58" s="1767"/>
      <c r="I58" s="1768"/>
      <c r="K58" s="1762"/>
      <c r="L58" s="1771" t="s">
        <v>419</v>
      </c>
      <c r="M58" s="1959">
        <v>5</v>
      </c>
      <c r="N58" s="1959">
        <f>350*$J$1</f>
        <v>1330</v>
      </c>
      <c r="O58" s="1959">
        <f>+N58*M58</f>
        <v>6650</v>
      </c>
      <c r="P58" s="2612"/>
      <c r="Q58" s="1767"/>
      <c r="R58" s="1767"/>
      <c r="S58" s="1768"/>
      <c r="U58" s="1727">
        <f t="shared" si="10"/>
        <v>5</v>
      </c>
      <c r="V58" s="1727">
        <f t="shared" si="10"/>
        <v>1330</v>
      </c>
      <c r="W58" s="1727">
        <f t="shared" si="10"/>
        <v>6650</v>
      </c>
      <c r="X58" s="1743">
        <f t="shared" si="10"/>
        <v>0</v>
      </c>
      <c r="Y58" s="1728">
        <f t="shared" si="10"/>
        <v>0</v>
      </c>
      <c r="Z58" s="1769">
        <f>R58-H58</f>
        <v>0</v>
      </c>
      <c r="AA58" s="1770">
        <f>S58-I58</f>
        <v>0</v>
      </c>
    </row>
    <row r="59" spans="1:27" ht="63.75" x14ac:dyDescent="0.2">
      <c r="A59" s="1762"/>
      <c r="B59" s="2616"/>
      <c r="C59" s="1903">
        <v>0</v>
      </c>
      <c r="D59" s="1903">
        <v>0</v>
      </c>
      <c r="E59" s="1903">
        <f>+D59*C59</f>
        <v>0</v>
      </c>
      <c r="F59" s="2612"/>
      <c r="G59" s="1767"/>
      <c r="H59" s="1767"/>
      <c r="I59" s="1768"/>
      <c r="K59" s="1762"/>
      <c r="L59" s="1763" t="s">
        <v>839</v>
      </c>
      <c r="M59" s="1959">
        <v>1</v>
      </c>
      <c r="N59" s="1959">
        <f>3000*$J$1*3+49400</f>
        <v>83600</v>
      </c>
      <c r="O59" s="1959">
        <f>+N59*M59</f>
        <v>83600</v>
      </c>
      <c r="P59" s="2612"/>
      <c r="Q59" s="1767"/>
      <c r="R59" s="1767"/>
      <c r="S59" s="1768"/>
      <c r="U59" s="1727">
        <f t="shared" si="10"/>
        <v>1</v>
      </c>
      <c r="V59" s="1727">
        <f t="shared" si="10"/>
        <v>83600</v>
      </c>
      <c r="W59" s="1727">
        <f t="shared" si="10"/>
        <v>83600</v>
      </c>
      <c r="X59" s="1743">
        <f t="shared" si="10"/>
        <v>0</v>
      </c>
      <c r="Y59" s="1728">
        <f t="shared" si="10"/>
        <v>0</v>
      </c>
      <c r="Z59" s="1769">
        <f>R59-H59</f>
        <v>0</v>
      </c>
      <c r="AA59" s="1770">
        <f>S59-I59</f>
        <v>0</v>
      </c>
    </row>
    <row r="60" spans="1:27" ht="13.5" thickBot="1" x14ac:dyDescent="0.25">
      <c r="A60" s="2617"/>
      <c r="B60" s="2618" t="s">
        <v>13</v>
      </c>
      <c r="C60" s="1895"/>
      <c r="D60" s="1895"/>
      <c r="E60" s="1895">
        <f>SUM(E56:E59)</f>
        <v>0</v>
      </c>
      <c r="F60" s="2618"/>
      <c r="G60" s="2538"/>
      <c r="H60" s="1896"/>
      <c r="I60" s="1898"/>
      <c r="J60" s="1731">
        <f>1200+2500+1500</f>
        <v>5200</v>
      </c>
      <c r="K60" s="2617"/>
      <c r="L60" s="2618" t="s">
        <v>13</v>
      </c>
      <c r="M60" s="1895"/>
      <c r="N60" s="1895"/>
      <c r="O60" s="1895">
        <f>SUM(O56:O59)</f>
        <v>151658</v>
      </c>
      <c r="P60" s="1895">
        <f>SUM(P56:P59)</f>
        <v>0</v>
      </c>
      <c r="Q60" s="1895"/>
      <c r="R60" s="1895">
        <f>SUM(R56:R59)</f>
        <v>0</v>
      </c>
      <c r="S60" s="1895">
        <f>SUM(S56:S59)</f>
        <v>0</v>
      </c>
      <c r="U60" s="1895"/>
      <c r="V60" s="1895"/>
      <c r="W60" s="1895">
        <f>SUM(W56:W59)</f>
        <v>151658</v>
      </c>
      <c r="X60" s="1895">
        <f>SUM(X56:X59)</f>
        <v>0</v>
      </c>
      <c r="Y60" s="1895"/>
      <c r="Z60" s="1895">
        <f>SUM(Z56:Z59)</f>
        <v>0</v>
      </c>
      <c r="AA60" s="1895">
        <f>SUM(AA56:AA59)</f>
        <v>0</v>
      </c>
    </row>
    <row r="61" spans="1:27" x14ac:dyDescent="0.2">
      <c r="A61" s="2619"/>
      <c r="B61" s="2620"/>
      <c r="C61" s="2620"/>
      <c r="D61" s="2620"/>
      <c r="E61" s="2620"/>
      <c r="F61" s="2620"/>
      <c r="G61" s="2620"/>
      <c r="H61" s="2620"/>
      <c r="I61" s="2620"/>
      <c r="K61" s="2619"/>
      <c r="L61" s="2620"/>
      <c r="M61" s="2620"/>
      <c r="N61" s="2620"/>
      <c r="O61" s="2621">
        <f>O60-'[7]פורמט משרד מקוצר'!$Q$375</f>
        <v>0</v>
      </c>
      <c r="P61" s="2620"/>
      <c r="Q61" s="2620"/>
      <c r="R61" s="2620"/>
      <c r="S61" s="2620"/>
    </row>
    <row r="62" spans="1:27" hidden="1" x14ac:dyDescent="0.2">
      <c r="A62" s="2081">
        <v>5</v>
      </c>
      <c r="B62" s="2622" t="s">
        <v>594</v>
      </c>
      <c r="C62" s="3262" t="s">
        <v>595</v>
      </c>
      <c r="D62" s="3263"/>
      <c r="E62" s="3264"/>
      <c r="F62" s="1937"/>
      <c r="G62" s="1938"/>
      <c r="H62" s="3217" t="s">
        <v>88</v>
      </c>
      <c r="I62" s="3218"/>
      <c r="K62" s="2081">
        <v>5</v>
      </c>
      <c r="L62" s="2622" t="s">
        <v>594</v>
      </c>
      <c r="M62" s="3262" t="s">
        <v>595</v>
      </c>
      <c r="N62" s="3263"/>
      <c r="O62" s="3264"/>
      <c r="P62" s="1937"/>
      <c r="Q62" s="1938"/>
      <c r="R62" s="3217" t="s">
        <v>88</v>
      </c>
      <c r="S62" s="3218"/>
      <c r="U62" s="3216" t="s">
        <v>506</v>
      </c>
      <c r="V62" s="3216"/>
      <c r="W62" s="3216"/>
      <c r="X62" s="1937"/>
      <c r="Y62" s="1939"/>
      <c r="Z62" s="3217" t="s">
        <v>88</v>
      </c>
      <c r="AA62" s="3218"/>
    </row>
    <row r="63" spans="1:27" ht="38.25" hidden="1" x14ac:dyDescent="0.2">
      <c r="A63" s="1762"/>
      <c r="B63" s="2623" t="s">
        <v>89</v>
      </c>
      <c r="C63" s="1830" t="s">
        <v>54</v>
      </c>
      <c r="D63" s="1830" t="s">
        <v>91</v>
      </c>
      <c r="E63" s="1830" t="s">
        <v>512</v>
      </c>
      <c r="F63" s="1830" t="s">
        <v>106</v>
      </c>
      <c r="G63" s="1766"/>
      <c r="H63" s="1831" t="s">
        <v>54</v>
      </c>
      <c r="I63" s="1832" t="s">
        <v>502</v>
      </c>
      <c r="K63" s="1762"/>
      <c r="L63" s="2623" t="s">
        <v>89</v>
      </c>
      <c r="M63" s="1830" t="s">
        <v>54</v>
      </c>
      <c r="N63" s="1830" t="s">
        <v>91</v>
      </c>
      <c r="O63" s="1830" t="s">
        <v>512</v>
      </c>
      <c r="P63" s="1830" t="s">
        <v>106</v>
      </c>
      <c r="Q63" s="1766"/>
      <c r="R63" s="1831" t="s">
        <v>54</v>
      </c>
      <c r="S63" s="1832" t="s">
        <v>502</v>
      </c>
      <c r="U63" s="590" t="s">
        <v>90</v>
      </c>
      <c r="V63" s="590" t="s">
        <v>91</v>
      </c>
      <c r="W63" s="1830" t="s">
        <v>507</v>
      </c>
      <c r="X63" s="590"/>
      <c r="Y63" s="1766"/>
      <c r="Z63" s="1831" t="s">
        <v>54</v>
      </c>
      <c r="AA63" s="1832" t="s">
        <v>507</v>
      </c>
    </row>
    <row r="64" spans="1:27" hidden="1" x14ac:dyDescent="0.2">
      <c r="A64" s="2118"/>
      <c r="B64" s="561" t="s">
        <v>596</v>
      </c>
      <c r="C64" s="1903">
        <v>0</v>
      </c>
      <c r="D64" s="1903">
        <v>0</v>
      </c>
      <c r="E64" s="1903">
        <f>+D64*C64</f>
        <v>0</v>
      </c>
      <c r="F64" s="1916"/>
      <c r="G64" s="2119"/>
      <c r="H64" s="2120"/>
      <c r="I64" s="2121"/>
      <c r="K64" s="2118"/>
      <c r="L64" s="561" t="s">
        <v>596</v>
      </c>
      <c r="M64" s="2122">
        <v>1</v>
      </c>
      <c r="N64" s="1916"/>
      <c r="O64" s="1916"/>
      <c r="P64" s="1916"/>
      <c r="Q64" s="2119"/>
      <c r="R64" s="2120"/>
      <c r="S64" s="2121"/>
      <c r="U64" s="1727">
        <f t="shared" ref="U64:Y66" si="11">M64-C64</f>
        <v>1</v>
      </c>
      <c r="V64" s="1727">
        <f t="shared" si="11"/>
        <v>0</v>
      </c>
      <c r="W64" s="1727">
        <f t="shared" si="11"/>
        <v>0</v>
      </c>
      <c r="X64" s="1743">
        <f t="shared" si="11"/>
        <v>0</v>
      </c>
      <c r="Y64" s="1728">
        <f t="shared" si="11"/>
        <v>0</v>
      </c>
      <c r="Z64" s="1769"/>
      <c r="AA64" s="1770">
        <f>S64-I64</f>
        <v>0</v>
      </c>
    </row>
    <row r="65" spans="1:27" hidden="1" x14ac:dyDescent="0.2">
      <c r="A65" s="1762"/>
      <c r="B65" s="2624" t="s">
        <v>194</v>
      </c>
      <c r="C65" s="1903">
        <v>0</v>
      </c>
      <c r="D65" s="1903">
        <v>0</v>
      </c>
      <c r="E65" s="1903">
        <f>+D65*C65</f>
        <v>0</v>
      </c>
      <c r="F65" s="2625">
        <f>+D65*C65*0.15</f>
        <v>0</v>
      </c>
      <c r="G65" s="1767"/>
      <c r="H65" s="1767"/>
      <c r="I65" s="1768"/>
      <c r="K65" s="1762"/>
      <c r="L65" s="2624" t="s">
        <v>194</v>
      </c>
      <c r="M65" s="2626">
        <v>9</v>
      </c>
      <c r="N65" s="2627">
        <f>163400/12</f>
        <v>13616.666666666666</v>
      </c>
      <c r="O65" s="268">
        <f>+N65*M65*0.85</f>
        <v>104167.5</v>
      </c>
      <c r="P65" s="2625">
        <f>+N65*M65*0.15</f>
        <v>18382.5</v>
      </c>
      <c r="Q65" s="1767"/>
      <c r="R65" s="1767"/>
      <c r="S65" s="1768"/>
      <c r="U65" s="1727">
        <f t="shared" si="11"/>
        <v>9</v>
      </c>
      <c r="V65" s="1727">
        <f t="shared" si="11"/>
        <v>13616.666666666666</v>
      </c>
      <c r="W65" s="1727">
        <f t="shared" si="11"/>
        <v>104167.5</v>
      </c>
      <c r="X65" s="1743">
        <f t="shared" si="11"/>
        <v>18382.5</v>
      </c>
      <c r="Y65" s="1728">
        <f t="shared" si="11"/>
        <v>0</v>
      </c>
      <c r="Z65" s="1769"/>
      <c r="AA65" s="1770">
        <f>S65-I65</f>
        <v>0</v>
      </c>
    </row>
    <row r="66" spans="1:27" hidden="1" x14ac:dyDescent="0.2">
      <c r="A66" s="1762"/>
      <c r="B66" s="2624" t="s">
        <v>442</v>
      </c>
      <c r="C66" s="1903">
        <v>0</v>
      </c>
      <c r="D66" s="1903">
        <v>0</v>
      </c>
      <c r="E66" s="1903">
        <f>+D66*C66</f>
        <v>0</v>
      </c>
      <c r="F66" s="2625">
        <f>+D66*C66*0.15</f>
        <v>0</v>
      </c>
      <c r="G66" s="1767"/>
      <c r="H66" s="1767"/>
      <c r="I66" s="1768"/>
      <c r="K66" s="1762"/>
      <c r="L66" s="2624" t="s">
        <v>442</v>
      </c>
      <c r="M66" s="2511">
        <v>9</v>
      </c>
      <c r="N66" s="1959">
        <f>18500/12</f>
        <v>1541.6666666666667</v>
      </c>
      <c r="O66" s="268">
        <f>+N66*M66*0.85</f>
        <v>11793.75</v>
      </c>
      <c r="P66" s="2625">
        <f>+N66*M66*0.15</f>
        <v>2081.25</v>
      </c>
      <c r="Q66" s="1767"/>
      <c r="R66" s="1767"/>
      <c r="S66" s="1768"/>
      <c r="U66" s="1727">
        <f t="shared" si="11"/>
        <v>9</v>
      </c>
      <c r="V66" s="1727">
        <f t="shared" si="11"/>
        <v>1541.6666666666667</v>
      </c>
      <c r="W66" s="1727">
        <f t="shared" si="11"/>
        <v>11793.75</v>
      </c>
      <c r="X66" s="1743">
        <f t="shared" si="11"/>
        <v>2081.25</v>
      </c>
      <c r="Y66" s="1728">
        <f t="shared" si="11"/>
        <v>0</v>
      </c>
      <c r="Z66" s="1769">
        <f>R66-H66</f>
        <v>0</v>
      </c>
      <c r="AA66" s="1770">
        <f>S66-I66</f>
        <v>0</v>
      </c>
    </row>
    <row r="67" spans="1:27" ht="13.5" hidden="1" thickBot="1" x14ac:dyDescent="0.25">
      <c r="A67" s="2617"/>
      <c r="B67" s="2628" t="s">
        <v>13</v>
      </c>
      <c r="C67" s="2618"/>
      <c r="D67" s="2618"/>
      <c r="E67" s="2629">
        <f>SUM(E65:E66)</f>
        <v>0</v>
      </c>
      <c r="F67" s="2629">
        <f>SUM(F65:F66)</f>
        <v>0</v>
      </c>
      <c r="G67" s="2538"/>
      <c r="H67" s="1896"/>
      <c r="I67" s="1898"/>
      <c r="K67" s="2617"/>
      <c r="L67" s="2628" t="s">
        <v>13</v>
      </c>
      <c r="M67" s="2618"/>
      <c r="N67" s="2618"/>
      <c r="O67" s="2629"/>
      <c r="P67" s="2629"/>
      <c r="Q67" s="2538"/>
      <c r="R67" s="1896"/>
      <c r="S67" s="1898"/>
      <c r="U67" s="1895"/>
      <c r="V67" s="1895"/>
      <c r="W67" s="1895">
        <f>SUM(W65:W66)</f>
        <v>115961.25</v>
      </c>
      <c r="X67" s="1895">
        <f>SUM(X65:X66)</f>
        <v>20463.75</v>
      </c>
      <c r="Y67" s="1895"/>
      <c r="Z67" s="1895">
        <f>SUM(Z65:Z66)</f>
        <v>0</v>
      </c>
      <c r="AA67" s="1895">
        <f>SUM(AA65:AA66)</f>
        <v>0</v>
      </c>
    </row>
    <row r="68" spans="1:27" hidden="1" x14ac:dyDescent="0.2">
      <c r="A68" s="2104"/>
      <c r="B68" s="2630"/>
      <c r="C68" s="2630"/>
      <c r="D68" s="2630"/>
      <c r="E68" s="2631"/>
      <c r="F68" s="2630"/>
      <c r="G68" s="2117"/>
      <c r="H68" s="2071"/>
      <c r="I68" s="2071"/>
      <c r="K68" s="2104"/>
      <c r="L68" s="2630"/>
      <c r="M68" s="2630"/>
      <c r="N68" s="2630"/>
      <c r="O68" s="2631">
        <f>O67-'[7]פורמט משרד מקוצר'!$Q$382</f>
        <v>-115961.25</v>
      </c>
      <c r="P68" s="2630">
        <f>P67/0.15*0.85</f>
        <v>0</v>
      </c>
      <c r="Q68" s="2117"/>
      <c r="R68" s="2071"/>
      <c r="S68" s="2071"/>
    </row>
    <row r="69" spans="1:27" customFormat="1" ht="15.75" thickBot="1" x14ac:dyDescent="0.3">
      <c r="A69" s="535"/>
      <c r="B69" s="548"/>
      <c r="C69" s="548"/>
      <c r="D69" s="548"/>
      <c r="E69" s="549"/>
      <c r="F69" s="548"/>
      <c r="G69" s="536"/>
      <c r="H69" s="273"/>
      <c r="I69" s="273"/>
      <c r="K69" s="535"/>
      <c r="L69" s="548"/>
      <c r="M69" s="548"/>
      <c r="N69" s="548"/>
      <c r="O69" s="549"/>
      <c r="P69" s="548"/>
      <c r="Q69" s="536"/>
      <c r="R69" s="273"/>
      <c r="S69" s="273"/>
    </row>
    <row r="70" spans="1:27" customFormat="1" ht="15" x14ac:dyDescent="0.25">
      <c r="A70" s="537"/>
      <c r="B70" s="538" t="s">
        <v>911</v>
      </c>
      <c r="C70" s="3274" t="s">
        <v>501</v>
      </c>
      <c r="D70" s="3275"/>
      <c r="E70" s="3276"/>
      <c r="F70" s="2761"/>
      <c r="G70" s="230"/>
      <c r="H70" s="3272" t="s">
        <v>88</v>
      </c>
      <c r="I70" s="3273"/>
      <c r="K70" s="537">
        <v>21</v>
      </c>
      <c r="L70" s="538" t="s">
        <v>912</v>
      </c>
      <c r="M70" s="3274" t="s">
        <v>501</v>
      </c>
      <c r="N70" s="3275"/>
      <c r="O70" s="3276"/>
      <c r="P70" s="2761"/>
      <c r="Q70" s="230"/>
      <c r="R70" s="3272" t="s">
        <v>88</v>
      </c>
      <c r="S70" s="3273"/>
      <c r="U70" s="3271" t="s">
        <v>506</v>
      </c>
      <c r="V70" s="3271"/>
      <c r="W70" s="3271"/>
      <c r="X70" s="2761"/>
      <c r="Y70" s="451"/>
      <c r="Z70" s="3272" t="s">
        <v>88</v>
      </c>
      <c r="AA70" s="3273"/>
    </row>
    <row r="71" spans="1:27" customFormat="1" ht="60" x14ac:dyDescent="0.25">
      <c r="A71" s="539"/>
      <c r="B71" s="453" t="s">
        <v>89</v>
      </c>
      <c r="C71" s="453" t="s">
        <v>54</v>
      </c>
      <c r="D71" s="453" t="s">
        <v>91</v>
      </c>
      <c r="E71" s="453" t="s">
        <v>530</v>
      </c>
      <c r="F71" s="186" t="s">
        <v>106</v>
      </c>
      <c r="G71" s="456"/>
      <c r="H71" s="187" t="s">
        <v>54</v>
      </c>
      <c r="I71" s="455" t="s">
        <v>502</v>
      </c>
      <c r="K71" s="539"/>
      <c r="L71" s="453" t="s">
        <v>89</v>
      </c>
      <c r="M71" s="453" t="s">
        <v>54</v>
      </c>
      <c r="N71" s="453" t="s">
        <v>91</v>
      </c>
      <c r="O71" s="453" t="s">
        <v>530</v>
      </c>
      <c r="P71" s="186" t="s">
        <v>106</v>
      </c>
      <c r="Q71" s="456"/>
      <c r="R71" s="187" t="s">
        <v>54</v>
      </c>
      <c r="S71" s="455" t="s">
        <v>502</v>
      </c>
      <c r="U71" s="186" t="s">
        <v>90</v>
      </c>
      <c r="V71" s="186" t="s">
        <v>91</v>
      </c>
      <c r="W71" s="453" t="s">
        <v>507</v>
      </c>
      <c r="X71" s="186"/>
      <c r="Y71" s="456"/>
      <c r="Z71" s="187" t="s">
        <v>54</v>
      </c>
      <c r="AA71" s="455" t="s">
        <v>507</v>
      </c>
    </row>
    <row r="72" spans="1:27" customFormat="1" ht="15" x14ac:dyDescent="0.25">
      <c r="A72" s="539"/>
      <c r="B72" s="226"/>
      <c r="C72" s="2775">
        <v>0</v>
      </c>
      <c r="D72" s="2775">
        <v>0</v>
      </c>
      <c r="E72" s="2775">
        <f>+D72*C72</f>
        <v>0</v>
      </c>
      <c r="F72" s="257">
        <f>+D72*C72*0.15</f>
        <v>0</v>
      </c>
      <c r="G72" s="456"/>
      <c r="H72" s="524"/>
      <c r="I72" s="525"/>
      <c r="K72" s="539"/>
      <c r="L72" s="226" t="s">
        <v>597</v>
      </c>
      <c r="M72" s="232">
        <v>9</v>
      </c>
      <c r="N72" s="422">
        <v>17700</v>
      </c>
      <c r="O72" s="257">
        <f>+N72*M72*0.85</f>
        <v>135405</v>
      </c>
      <c r="P72" s="257">
        <f>+N72*M72*0.15</f>
        <v>23895</v>
      </c>
      <c r="Q72" s="456"/>
      <c r="R72" s="524"/>
      <c r="S72" s="525"/>
      <c r="U72" s="516">
        <f t="shared" ref="U72:Y75" si="12">M72-C72</f>
        <v>9</v>
      </c>
      <c r="V72" s="516">
        <f t="shared" si="12"/>
        <v>17700</v>
      </c>
      <c r="W72" s="516">
        <f t="shared" si="12"/>
        <v>135405</v>
      </c>
      <c r="X72" s="527">
        <f t="shared" si="12"/>
        <v>23895</v>
      </c>
      <c r="Y72" s="517">
        <f t="shared" si="12"/>
        <v>0</v>
      </c>
      <c r="Z72" s="528"/>
      <c r="AA72" s="529">
        <f t="shared" ref="AA72:AA76" si="13">S72-I72</f>
        <v>0</v>
      </c>
    </row>
    <row r="73" spans="1:27" customFormat="1" ht="28.5" x14ac:dyDescent="0.25">
      <c r="A73" s="539"/>
      <c r="B73" s="290"/>
      <c r="C73" s="2775">
        <v>0</v>
      </c>
      <c r="D73" s="2775">
        <v>0</v>
      </c>
      <c r="E73" s="2775">
        <f>+D73*C73</f>
        <v>0</v>
      </c>
      <c r="F73" s="257">
        <f>+D73*C73*0.15</f>
        <v>0</v>
      </c>
      <c r="G73" s="456"/>
      <c r="H73" s="524"/>
      <c r="I73" s="525"/>
      <c r="K73" s="539"/>
      <c r="L73" s="290" t="s">
        <v>442</v>
      </c>
      <c r="M73" s="265">
        <v>9</v>
      </c>
      <c r="N73" s="516">
        <f>700*$J$1</f>
        <v>2660</v>
      </c>
      <c r="O73" s="257">
        <f>+N73*M73*0.85</f>
        <v>20349</v>
      </c>
      <c r="P73" s="257">
        <f>+N73*M73*0.15</f>
        <v>3591</v>
      </c>
      <c r="Q73" s="456"/>
      <c r="R73" s="524"/>
      <c r="S73" s="525"/>
      <c r="U73" s="516">
        <f t="shared" si="12"/>
        <v>9</v>
      </c>
      <c r="V73" s="516">
        <f t="shared" si="12"/>
        <v>2660</v>
      </c>
      <c r="W73" s="516">
        <f t="shared" si="12"/>
        <v>20349</v>
      </c>
      <c r="X73" s="527">
        <f t="shared" si="12"/>
        <v>3591</v>
      </c>
      <c r="Y73" s="517">
        <f t="shared" si="12"/>
        <v>0</v>
      </c>
      <c r="Z73" s="528"/>
      <c r="AA73" s="529">
        <f t="shared" si="13"/>
        <v>0</v>
      </c>
    </row>
    <row r="74" spans="1:27" customFormat="1" ht="15" x14ac:dyDescent="0.25">
      <c r="A74" s="539"/>
      <c r="B74" s="408"/>
      <c r="C74" s="2775">
        <v>0</v>
      </c>
      <c r="D74" s="2775">
        <v>0</v>
      </c>
      <c r="E74" s="2775">
        <f>+D74*C74</f>
        <v>0</v>
      </c>
      <c r="F74" s="257">
        <f>+D74*C74*0.15</f>
        <v>0</v>
      </c>
      <c r="G74" s="456"/>
      <c r="H74" s="524"/>
      <c r="I74" s="525"/>
      <c r="K74" s="539"/>
      <c r="L74" s="408" t="s">
        <v>598</v>
      </c>
      <c r="M74" s="265">
        <v>9</v>
      </c>
      <c r="N74" s="516">
        <f>700*$J$1</f>
        <v>2660</v>
      </c>
      <c r="O74" s="257">
        <f>+N74*M74*0.85</f>
        <v>20349</v>
      </c>
      <c r="P74" s="257">
        <f>+N74*M74*0.15</f>
        <v>3591</v>
      </c>
      <c r="Q74" s="456"/>
      <c r="R74" s="524"/>
      <c r="S74" s="525"/>
      <c r="U74" s="516">
        <f t="shared" si="12"/>
        <v>9</v>
      </c>
      <c r="V74" s="516">
        <f t="shared" si="12"/>
        <v>2660</v>
      </c>
      <c r="W74" s="516">
        <f t="shared" si="12"/>
        <v>20349</v>
      </c>
      <c r="X74" s="527">
        <f t="shared" si="12"/>
        <v>3591</v>
      </c>
      <c r="Y74" s="517">
        <f t="shared" si="12"/>
        <v>0</v>
      </c>
      <c r="Z74" s="528"/>
      <c r="AA74" s="529">
        <f t="shared" si="13"/>
        <v>0</v>
      </c>
    </row>
    <row r="75" spans="1:27" customFormat="1" ht="15" x14ac:dyDescent="0.25">
      <c r="A75" s="539"/>
      <c r="B75" s="408"/>
      <c r="C75" s="2775">
        <v>0</v>
      </c>
      <c r="D75" s="2775">
        <v>0</v>
      </c>
      <c r="E75" s="2775">
        <f>+D75*C75</f>
        <v>0</v>
      </c>
      <c r="F75" s="257">
        <f>+D75*C75*0.15</f>
        <v>0</v>
      </c>
      <c r="G75" s="456"/>
      <c r="H75" s="524"/>
      <c r="I75" s="525"/>
      <c r="K75" s="539"/>
      <c r="L75" s="408" t="s">
        <v>599</v>
      </c>
      <c r="M75" s="265">
        <f>9*14</f>
        <v>126</v>
      </c>
      <c r="N75" s="516">
        <f>+(90+180+30)*$J$1</f>
        <v>1140</v>
      </c>
      <c r="O75" s="257">
        <f>+N75*M75*0.85</f>
        <v>122094</v>
      </c>
      <c r="P75" s="257">
        <f>+N75*M75*0.15</f>
        <v>21546</v>
      </c>
      <c r="Q75" s="456"/>
      <c r="R75" s="524"/>
      <c r="S75" s="525"/>
      <c r="U75" s="516">
        <f t="shared" si="12"/>
        <v>126</v>
      </c>
      <c r="V75" s="516">
        <f t="shared" si="12"/>
        <v>1140</v>
      </c>
      <c r="W75" s="516">
        <f t="shared" si="12"/>
        <v>122094</v>
      </c>
      <c r="X75" s="527">
        <f t="shared" si="12"/>
        <v>21546</v>
      </c>
      <c r="Y75" s="517">
        <f t="shared" si="12"/>
        <v>0</v>
      </c>
      <c r="Z75" s="528"/>
      <c r="AA75" s="529">
        <f t="shared" si="13"/>
        <v>0</v>
      </c>
    </row>
    <row r="76" spans="1:27" customFormat="1" ht="29.25" x14ac:dyDescent="0.25">
      <c r="A76" s="531"/>
      <c r="B76" s="533"/>
      <c r="C76" s="486"/>
      <c r="D76" s="486"/>
      <c r="E76" s="487"/>
      <c r="F76" s="487"/>
      <c r="G76" s="456"/>
      <c r="H76" s="496"/>
      <c r="I76" s="532"/>
      <c r="K76" s="531"/>
      <c r="L76" s="533" t="s">
        <v>840</v>
      </c>
      <c r="M76" s="486">
        <v>12</v>
      </c>
      <c r="N76" s="486">
        <f>2000*$J$1/2+1000*$J$1</f>
        <v>7600</v>
      </c>
      <c r="O76" s="487">
        <f>N76*M76</f>
        <v>91200</v>
      </c>
      <c r="P76" s="487"/>
      <c r="Q76" s="456"/>
      <c r="R76" s="496"/>
      <c r="S76" s="532"/>
      <c r="U76" s="516">
        <f t="shared" ref="U76:Y77" si="14">M76-C76</f>
        <v>12</v>
      </c>
      <c r="V76" s="516">
        <f t="shared" si="14"/>
        <v>7600</v>
      </c>
      <c r="W76" s="516">
        <f t="shared" si="14"/>
        <v>91200</v>
      </c>
      <c r="X76" s="527">
        <f t="shared" si="14"/>
        <v>0</v>
      </c>
      <c r="Y76" s="517">
        <f t="shared" si="14"/>
        <v>0</v>
      </c>
      <c r="Z76" s="528"/>
      <c r="AA76" s="529">
        <f t="shared" si="13"/>
        <v>0</v>
      </c>
    </row>
    <row r="77" spans="1:27" customFormat="1" ht="29.25" x14ac:dyDescent="0.25">
      <c r="A77" s="531"/>
      <c r="B77" s="533"/>
      <c r="C77" s="486"/>
      <c r="D77" s="486"/>
      <c r="E77" s="487"/>
      <c r="F77" s="487"/>
      <c r="G77" s="456"/>
      <c r="H77" s="496"/>
      <c r="I77" s="532"/>
      <c r="K77" s="531"/>
      <c r="L77" s="533" t="s">
        <v>565</v>
      </c>
      <c r="M77" s="486">
        <v>6</v>
      </c>
      <c r="N77" s="486">
        <f>170*$J$1</f>
        <v>646</v>
      </c>
      <c r="O77" s="487">
        <f>N77*M77</f>
        <v>3876</v>
      </c>
      <c r="P77" s="487"/>
      <c r="Q77" s="456"/>
      <c r="R77" s="496"/>
      <c r="S77" s="532"/>
      <c r="U77" s="516">
        <f t="shared" si="14"/>
        <v>6</v>
      </c>
      <c r="V77" s="516">
        <f t="shared" si="14"/>
        <v>646</v>
      </c>
      <c r="W77" s="516">
        <f t="shared" si="14"/>
        <v>3876</v>
      </c>
      <c r="X77" s="527">
        <f t="shared" si="14"/>
        <v>0</v>
      </c>
      <c r="Y77" s="517">
        <f t="shared" si="14"/>
        <v>0</v>
      </c>
      <c r="Z77" s="528"/>
      <c r="AA77" s="529">
        <f>S77-I77</f>
        <v>0</v>
      </c>
    </row>
    <row r="78" spans="1:27" customFormat="1" ht="15" x14ac:dyDescent="0.25">
      <c r="A78" s="526"/>
      <c r="B78" s="195" t="s">
        <v>13</v>
      </c>
      <c r="C78" s="278"/>
      <c r="D78" s="278"/>
      <c r="E78" s="278">
        <f>SUM(E72:E75)</f>
        <v>0</v>
      </c>
      <c r="F78" s="278">
        <f>SUM(F72:F75)</f>
        <v>0</v>
      </c>
      <c r="G78" s="456"/>
      <c r="H78" s="278"/>
      <c r="I78" s="279">
        <f>SUM(I73:I75)</f>
        <v>0</v>
      </c>
      <c r="K78" s="526"/>
      <c r="L78" s="195" t="s">
        <v>13</v>
      </c>
      <c r="M78" s="278"/>
      <c r="N78" s="278"/>
      <c r="O78" s="278">
        <f>SUM(O72:O77)</f>
        <v>393273</v>
      </c>
      <c r="P78" s="278">
        <f>SUM(P72:P77)</f>
        <v>52623</v>
      </c>
      <c r="Q78" s="456"/>
      <c r="R78" s="278"/>
      <c r="S78" s="279">
        <f>SUM(S73:S75)</f>
        <v>0</v>
      </c>
      <c r="U78" s="278"/>
      <c r="V78" s="278"/>
      <c r="W78" s="278">
        <f>SUM(W72:W77)</f>
        <v>393273</v>
      </c>
      <c r="X78" s="278">
        <f>SUM(X72:X77)</f>
        <v>52623</v>
      </c>
      <c r="Y78" s="278">
        <f>SUM(Y72:Y77)</f>
        <v>0</v>
      </c>
      <c r="Z78" s="278">
        <f>SUM(Z72:Z77)</f>
        <v>0</v>
      </c>
      <c r="AA78" s="278">
        <f>SUM(AA72:AA77)</f>
        <v>0</v>
      </c>
    </row>
    <row r="79" spans="1:27" customFormat="1" ht="15" x14ac:dyDescent="0.25">
      <c r="A79" s="545"/>
      <c r="B79" s="546"/>
      <c r="C79" s="546"/>
      <c r="D79" s="546"/>
      <c r="E79" s="546"/>
      <c r="F79" s="546"/>
      <c r="G79" s="546"/>
      <c r="H79" s="546"/>
      <c r="I79" s="546"/>
      <c r="K79" s="545"/>
      <c r="L79" s="546"/>
      <c r="M79" s="546"/>
      <c r="N79" s="546"/>
      <c r="O79" s="546"/>
      <c r="P79" s="546"/>
      <c r="Q79" s="546"/>
      <c r="R79" s="546"/>
      <c r="S79" s="546"/>
    </row>
    <row r="80" spans="1:27" ht="13.5" thickBot="1" x14ac:dyDescent="0.25"/>
    <row r="81" spans="1:54" s="1881" customFormat="1" ht="38.25" x14ac:dyDescent="0.2">
      <c r="A81" s="369">
        <v>5</v>
      </c>
      <c r="B81" s="2000" t="s">
        <v>413</v>
      </c>
      <c r="C81" s="3216" t="s">
        <v>410</v>
      </c>
      <c r="D81" s="3216"/>
      <c r="E81" s="3216"/>
      <c r="F81" s="1937"/>
      <c r="G81" s="1949"/>
      <c r="H81" s="2106" t="s">
        <v>88</v>
      </c>
      <c r="I81" s="2508"/>
      <c r="K81" s="369">
        <v>5</v>
      </c>
      <c r="L81" s="2000" t="s">
        <v>413</v>
      </c>
      <c r="M81" s="3216" t="s">
        <v>812</v>
      </c>
      <c r="N81" s="3216"/>
      <c r="O81" s="3216"/>
      <c r="P81" s="1937"/>
      <c r="Q81" s="1949"/>
      <c r="R81" s="2106" t="s">
        <v>88</v>
      </c>
      <c r="S81" s="2508"/>
      <c r="U81" s="3216" t="s">
        <v>506</v>
      </c>
      <c r="V81" s="3216"/>
      <c r="W81" s="3216"/>
      <c r="X81" s="1937"/>
      <c r="Y81" s="1939"/>
      <c r="Z81" s="3217" t="s">
        <v>88</v>
      </c>
      <c r="AA81" s="3218"/>
      <c r="AY81" s="1731"/>
    </row>
    <row r="82" spans="1:54" ht="38.25" x14ac:dyDescent="0.2">
      <c r="A82" s="370"/>
      <c r="B82" s="1831" t="s">
        <v>89</v>
      </c>
      <c r="C82" s="1831" t="s">
        <v>54</v>
      </c>
      <c r="D82" s="590" t="s">
        <v>91</v>
      </c>
      <c r="E82" s="590" t="s">
        <v>92</v>
      </c>
      <c r="F82" s="590"/>
      <c r="G82" s="1723"/>
      <c r="H82" s="1831" t="s">
        <v>54</v>
      </c>
      <c r="I82" s="1909" t="s">
        <v>92</v>
      </c>
      <c r="K82" s="370"/>
      <c r="L82" s="1831" t="s">
        <v>89</v>
      </c>
      <c r="M82" s="1831" t="s">
        <v>54</v>
      </c>
      <c r="N82" s="590" t="s">
        <v>91</v>
      </c>
      <c r="O82" s="590" t="s">
        <v>92</v>
      </c>
      <c r="P82" s="590"/>
      <c r="Q82" s="1723"/>
      <c r="R82" s="1831" t="s">
        <v>54</v>
      </c>
      <c r="S82" s="1909" t="s">
        <v>92</v>
      </c>
      <c r="U82" s="590" t="s">
        <v>90</v>
      </c>
      <c r="V82" s="590" t="s">
        <v>91</v>
      </c>
      <c r="W82" s="1830" t="s">
        <v>507</v>
      </c>
      <c r="X82" s="590"/>
      <c r="Y82" s="1766"/>
      <c r="Z82" s="1831" t="s">
        <v>54</v>
      </c>
      <c r="AA82" s="1832" t="s">
        <v>507</v>
      </c>
    </row>
    <row r="83" spans="1:54" ht="25.5" x14ac:dyDescent="0.2">
      <c r="A83" s="252"/>
      <c r="B83" s="1771" t="s">
        <v>414</v>
      </c>
      <c r="C83" s="1724"/>
      <c r="D83" s="1724"/>
      <c r="E83" s="2129"/>
      <c r="F83" s="2129"/>
      <c r="G83" s="1723"/>
      <c r="H83" s="1724"/>
      <c r="I83" s="2632">
        <v>150000</v>
      </c>
      <c r="K83" s="252"/>
      <c r="L83" s="1771" t="s">
        <v>414</v>
      </c>
      <c r="M83" s="1724"/>
      <c r="N83" s="1724"/>
      <c r="O83" s="2129"/>
      <c r="P83" s="2129"/>
      <c r="Q83" s="1723"/>
      <c r="R83" s="1724"/>
      <c r="S83" s="2632">
        <v>150000</v>
      </c>
      <c r="U83" s="1727">
        <f>M83-C83</f>
        <v>0</v>
      </c>
      <c r="V83" s="1727">
        <f>N83-D83</f>
        <v>0</v>
      </c>
      <c r="W83" s="1727">
        <f>O83-E83</f>
        <v>0</v>
      </c>
      <c r="X83" s="1743">
        <f>P83-F83</f>
        <v>0</v>
      </c>
      <c r="Y83" s="1728">
        <f>Q83-G83</f>
        <v>0</v>
      </c>
      <c r="Z83" s="1769"/>
      <c r="AA83" s="1770">
        <f>S83-I83</f>
        <v>0</v>
      </c>
    </row>
    <row r="84" spans="1:54" ht="13.5" thickBot="1" x14ac:dyDescent="0.25">
      <c r="A84" s="383"/>
      <c r="B84" s="2561" t="s">
        <v>13</v>
      </c>
      <c r="C84" s="2026"/>
      <c r="D84" s="2026"/>
      <c r="E84" s="1864">
        <f>SUM(E83)</f>
        <v>0</v>
      </c>
      <c r="F84" s="1864"/>
      <c r="G84" s="2027"/>
      <c r="H84" s="1760"/>
      <c r="I84" s="2028">
        <f>SUM(I83)</f>
        <v>150000</v>
      </c>
      <c r="K84" s="383"/>
      <c r="L84" s="2561" t="s">
        <v>13</v>
      </c>
      <c r="M84" s="2026"/>
      <c r="N84" s="2026"/>
      <c r="O84" s="1864">
        <f>SUM(O83)</f>
        <v>0</v>
      </c>
      <c r="P84" s="1864"/>
      <c r="Q84" s="2027"/>
      <c r="R84" s="1760"/>
      <c r="S84" s="2028">
        <f>SUM(S83)</f>
        <v>150000</v>
      </c>
      <c r="U84" s="1779"/>
      <c r="V84" s="1779"/>
      <c r="W84" s="1779">
        <f>SUM(W83:W83)</f>
        <v>0</v>
      </c>
      <c r="X84" s="1779">
        <f>SUM(X83:X83)</f>
        <v>0</v>
      </c>
      <c r="Y84" s="1779">
        <f>SUM(Y83:Y83)</f>
        <v>0</v>
      </c>
      <c r="Z84" s="1779">
        <f>SUM(Z83:Z83)</f>
        <v>0</v>
      </c>
      <c r="AA84" s="1779">
        <f>SUM(AA83:AA83)</f>
        <v>0</v>
      </c>
      <c r="AY84" s="1726"/>
    </row>
    <row r="85" spans="1:54" ht="13.5" thickBot="1" x14ac:dyDescent="0.25">
      <c r="B85" s="2553"/>
      <c r="C85" s="2554"/>
      <c r="D85" s="2554"/>
      <c r="E85" s="2071"/>
      <c r="F85" s="2071"/>
      <c r="H85" s="1757"/>
      <c r="I85" s="1987"/>
      <c r="AY85" s="1881"/>
    </row>
    <row r="86" spans="1:54" ht="13.5" thickBot="1" x14ac:dyDescent="0.25">
      <c r="A86" s="2131"/>
      <c r="B86" s="2132" t="s">
        <v>13</v>
      </c>
      <c r="C86" s="2133"/>
      <c r="D86" s="2134"/>
      <c r="E86" s="2758">
        <f>E22+E31+E40+E84+E50+E60+E78+E67</f>
        <v>658488.52</v>
      </c>
      <c r="F86" s="2758">
        <f>F22+F31+F40+F84+F50+F60+F78+F67</f>
        <v>0</v>
      </c>
      <c r="G86" s="2758">
        <f>G22+G31+G40+G84+G50+G60+G78+G67</f>
        <v>0</v>
      </c>
      <c r="H86" s="2758">
        <f>H22+H31+H40+H84+H50+H60+H78+H67</f>
        <v>0</v>
      </c>
      <c r="I86" s="2758">
        <f>I22+I31+I40+I84+I50+I60+I78+I67</f>
        <v>150000</v>
      </c>
      <c r="K86" s="2131"/>
      <c r="L86" s="2132"/>
      <c r="M86" s="2133"/>
      <c r="N86" s="2134"/>
      <c r="O86" s="2758">
        <f>O22+O31+O40+O84+O50+O60+O78+O67</f>
        <v>1672863.15</v>
      </c>
      <c r="P86" s="2758">
        <f>P22+P31+P40+P84+P50+P60+P78+P67</f>
        <v>104909.1</v>
      </c>
      <c r="Q86" s="2758">
        <f>Q22+Q31+Q40+Q84+Q50+Q60+Q78+Q67</f>
        <v>0</v>
      </c>
      <c r="R86" s="2758">
        <f>R22+R31+R40+R84+R50+R60+R78+R67</f>
        <v>0</v>
      </c>
      <c r="S86" s="2758">
        <f>S22+S31+S40+S84+S50+S60+S78+S67</f>
        <v>380186.32</v>
      </c>
      <c r="U86" s="2133"/>
      <c r="V86" s="2134"/>
      <c r="W86" s="2758">
        <f>W22+W31+W40+W84+W50+W60+W78+W67</f>
        <v>828228.25</v>
      </c>
      <c r="X86" s="2758">
        <f>X22+X31+X40+X84+X50+X60+X78+X67</f>
        <v>73086.75</v>
      </c>
      <c r="Y86" s="2758">
        <f>Y22+Y31+Y40+Y84+Y50+Y60+Y78+Y67</f>
        <v>0</v>
      </c>
      <c r="Z86" s="2758">
        <f>Z22+Z31+Z40+Z84+Z50+Z60+Z78+Z67</f>
        <v>0</v>
      </c>
      <c r="AA86" s="2758">
        <f>AA22+AA31+AA40+AA84+AA50+AA60+AA78+AA67</f>
        <v>0</v>
      </c>
      <c r="AL86" s="1731">
        <f t="shared" ref="AL86:BB86" si="15">SUM(AL2:AL85)</f>
        <v>17290</v>
      </c>
      <c r="AM86" s="1731">
        <f t="shared" si="15"/>
        <v>30780</v>
      </c>
      <c r="AN86" s="1731">
        <f t="shared" si="15"/>
        <v>9652</v>
      </c>
      <c r="AO86" s="1731">
        <f t="shared" si="15"/>
        <v>2500</v>
      </c>
      <c r="AP86" s="1731">
        <f t="shared" si="15"/>
        <v>101163.59999999999</v>
      </c>
      <c r="AQ86" s="1731">
        <f t="shared" si="15"/>
        <v>9500</v>
      </c>
      <c r="AR86" s="1731">
        <f t="shared" si="15"/>
        <v>0</v>
      </c>
      <c r="AS86" s="1731">
        <f t="shared" si="15"/>
        <v>153509</v>
      </c>
      <c r="AT86" s="1731">
        <f t="shared" si="15"/>
        <v>0</v>
      </c>
      <c r="AU86" s="1731">
        <f t="shared" si="15"/>
        <v>5700</v>
      </c>
      <c r="AV86" s="1731">
        <f t="shared" si="15"/>
        <v>0</v>
      </c>
      <c r="AW86" s="1731">
        <f t="shared" si="15"/>
        <v>262880</v>
      </c>
      <c r="AX86" s="1731">
        <f t="shared" si="15"/>
        <v>0</v>
      </c>
      <c r="AY86" s="1731">
        <f t="shared" si="15"/>
        <v>10000</v>
      </c>
      <c r="AZ86" s="1731">
        <f t="shared" si="15"/>
        <v>44400</v>
      </c>
      <c r="BA86" s="1731">
        <f t="shared" si="15"/>
        <v>0</v>
      </c>
      <c r="BB86" s="1731">
        <f t="shared" si="15"/>
        <v>11113.919999999998</v>
      </c>
    </row>
    <row r="87" spans="1:54" x14ac:dyDescent="0.2">
      <c r="O87" s="1902">
        <f>-O86+'סיכום 9.17  '!F80</f>
        <v>0</v>
      </c>
    </row>
    <row r="88" spans="1:54" x14ac:dyDescent="0.2">
      <c r="E88" s="1777">
        <f>E86-[2]אנגליה!$E$105</f>
        <v>0</v>
      </c>
      <c r="O88" s="1902"/>
      <c r="AY88" s="1871"/>
    </row>
    <row r="91" spans="1:54" x14ac:dyDescent="0.2">
      <c r="AY91" s="1881"/>
    </row>
    <row r="92" spans="1:54" x14ac:dyDescent="0.2">
      <c r="O92" s="1930"/>
      <c r="AY92" s="1726"/>
    </row>
    <row r="93" spans="1:54" x14ac:dyDescent="0.2">
      <c r="O93" s="1930"/>
    </row>
    <row r="94" spans="1:54" x14ac:dyDescent="0.2">
      <c r="AY94" s="1726"/>
    </row>
    <row r="95" spans="1:54" x14ac:dyDescent="0.2">
      <c r="AY95" s="1726"/>
    </row>
    <row r="96" spans="1:54" x14ac:dyDescent="0.2">
      <c r="AY96" s="1726"/>
    </row>
    <row r="97" spans="1:51" x14ac:dyDescent="0.2">
      <c r="AY97" s="1726"/>
    </row>
    <row r="98" spans="1:51" x14ac:dyDescent="0.2">
      <c r="A98" s="1731"/>
      <c r="B98" s="1731"/>
      <c r="AY98" s="1930">
        <f>B98</f>
        <v>0</v>
      </c>
    </row>
    <row r="105" spans="1:51" x14ac:dyDescent="0.2">
      <c r="A105" s="1731"/>
      <c r="B105" s="1731"/>
      <c r="AY105" s="1972"/>
    </row>
    <row r="106" spans="1:51" x14ac:dyDescent="0.2">
      <c r="A106" s="1731"/>
      <c r="B106" s="1731"/>
      <c r="AY106" s="1972"/>
    </row>
    <row r="107" spans="1:51" x14ac:dyDescent="0.2">
      <c r="A107" s="1731"/>
      <c r="B107" s="1731"/>
      <c r="AY107" s="1726"/>
    </row>
    <row r="112" spans="1:51" x14ac:dyDescent="0.2">
      <c r="A112" s="1731"/>
      <c r="B112" s="1731"/>
      <c r="AY112" s="1874">
        <f>B112</f>
        <v>0</v>
      </c>
    </row>
    <row r="196" spans="1:51" x14ac:dyDescent="0.2">
      <c r="A196" s="1731"/>
      <c r="B196" s="1731"/>
      <c r="AY196" s="1730">
        <f>SUM(AY2:AY195)</f>
        <v>20000</v>
      </c>
    </row>
  </sheetData>
  <mergeCells count="49">
    <mergeCell ref="C70:E70"/>
    <mergeCell ref="H70:I70"/>
    <mergeCell ref="M70:O70"/>
    <mergeCell ref="R70:S70"/>
    <mergeCell ref="U43:W43"/>
    <mergeCell ref="Z43:AA43"/>
    <mergeCell ref="U53:W53"/>
    <mergeCell ref="Z53:AA53"/>
    <mergeCell ref="M81:O81"/>
    <mergeCell ref="U81:W81"/>
    <mergeCell ref="Z81:AA81"/>
    <mergeCell ref="U62:W62"/>
    <mergeCell ref="Z62:AA62"/>
    <mergeCell ref="U70:W70"/>
    <mergeCell ref="Z70:AA70"/>
    <mergeCell ref="R34:S34"/>
    <mergeCell ref="H62:I62"/>
    <mergeCell ref="L51:S51"/>
    <mergeCell ref="M43:O43"/>
    <mergeCell ref="R43:S43"/>
    <mergeCell ref="M53:O53"/>
    <mergeCell ref="R53:S53"/>
    <mergeCell ref="M62:O62"/>
    <mergeCell ref="R62:S62"/>
    <mergeCell ref="C81:E81"/>
    <mergeCell ref="U34:W34"/>
    <mergeCell ref="Z34:AA34"/>
    <mergeCell ref="M2:O2"/>
    <mergeCell ref="R2:S2"/>
    <mergeCell ref="U2:W2"/>
    <mergeCell ref="Z2:AA2"/>
    <mergeCell ref="M25:P25"/>
    <mergeCell ref="R25:S25"/>
    <mergeCell ref="U25:W25"/>
    <mergeCell ref="Z25:AA25"/>
    <mergeCell ref="M34:O34"/>
    <mergeCell ref="C2:E2"/>
    <mergeCell ref="H2:I2"/>
    <mergeCell ref="B23:I23"/>
    <mergeCell ref="C25:E25"/>
    <mergeCell ref="H25:I25"/>
    <mergeCell ref="B51:I51"/>
    <mergeCell ref="C53:E53"/>
    <mergeCell ref="H53:I53"/>
    <mergeCell ref="C62:E62"/>
    <mergeCell ref="C34:E34"/>
    <mergeCell ref="H34:I34"/>
    <mergeCell ref="C43:E43"/>
    <mergeCell ref="H43:I43"/>
  </mergeCells>
  <pageMargins left="0.70866141732283505" right="0.70866141732283505" top="0.74803149606299202" bottom="0.74803149606299202" header="0.31496062992126" footer="0.31496062992126"/>
  <pageSetup paperSize="9" scale="94" fitToHeight="0" orientation="portrait" r:id="rId1"/>
  <headerFooter>
    <oddHeader>&amp;L&amp;D&amp;C&amp;A&amp;R&amp;F</oddHeader>
    <oddFooter>&amp;L&amp;P</oddFooter>
  </headerFooter>
  <rowBreaks count="2" manualBreakCount="2">
    <brk id="42" min="10" max="18" man="1"/>
    <brk id="80" min="10"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9"/>
  <sheetViews>
    <sheetView rightToLeft="1" topLeftCell="K1" zoomScaleNormal="100" workbookViewId="0">
      <selection activeCell="AF9" sqref="AF9"/>
    </sheetView>
  </sheetViews>
  <sheetFormatPr defaultRowHeight="12.75" x14ac:dyDescent="0.2"/>
  <cols>
    <col min="1" max="1" width="2.625" style="1718" hidden="1" customWidth="1"/>
    <col min="2" max="2" width="27.25" style="1718" hidden="1" customWidth="1"/>
    <col min="3" max="4" width="9" style="1718" hidden="1" customWidth="1"/>
    <col min="5" max="5" width="10.625" style="1718" hidden="1" customWidth="1"/>
    <col min="6" max="6" width="9" style="1718" hidden="1" customWidth="1"/>
    <col min="7" max="7" width="4.125" style="1718" hidden="1" customWidth="1"/>
    <col min="8" max="10" width="9" style="1718" hidden="1" customWidth="1"/>
    <col min="11" max="11" width="2.625" style="1718" customWidth="1"/>
    <col min="12" max="12" width="27.25" style="1718" customWidth="1"/>
    <col min="13" max="14" width="9" style="1718"/>
    <col min="15" max="15" width="10.625" style="1718" customWidth="1"/>
    <col min="16" max="16" width="10.75" style="1718" customWidth="1"/>
    <col min="17" max="17" width="1.875" style="1718" customWidth="1"/>
    <col min="18" max="19" width="9" style="1718"/>
    <col min="20" max="22" width="9" style="1718" hidden="1" customWidth="1"/>
    <col min="23" max="23" width="12" style="1718" hidden="1" customWidth="1"/>
    <col min="24" max="24" width="9" style="1718" hidden="1" customWidth="1"/>
    <col min="25" max="25" width="1.75" style="1718" hidden="1" customWidth="1"/>
    <col min="26" max="27" width="9" style="1718" hidden="1" customWidth="1"/>
    <col min="28" max="16384" width="9" style="1718"/>
  </cols>
  <sheetData>
    <row r="1" spans="1:27" x14ac:dyDescent="0.2">
      <c r="J1" s="1718">
        <v>3.8</v>
      </c>
    </row>
    <row r="2" spans="1:27" ht="13.5" thickBot="1" x14ac:dyDescent="0.25"/>
    <row r="3" spans="1:27" ht="15" customHeight="1" x14ac:dyDescent="0.2">
      <c r="A3" s="2352">
        <v>1</v>
      </c>
      <c r="B3" s="2439" t="s">
        <v>585</v>
      </c>
      <c r="C3" s="3281"/>
      <c r="D3" s="3208"/>
      <c r="E3" s="3209"/>
      <c r="F3" s="2151"/>
      <c r="G3" s="2353"/>
      <c r="H3" s="3189" t="s">
        <v>88</v>
      </c>
      <c r="I3" s="3190"/>
      <c r="K3" s="2352">
        <v>1</v>
      </c>
      <c r="L3" s="2439" t="s">
        <v>585</v>
      </c>
      <c r="M3" s="3186" t="s">
        <v>812</v>
      </c>
      <c r="N3" s="3186"/>
      <c r="O3" s="3186"/>
      <c r="P3" s="2151"/>
      <c r="Q3" s="2353"/>
      <c r="R3" s="3189" t="s">
        <v>88</v>
      </c>
      <c r="S3" s="3190"/>
      <c r="U3" s="3186" t="s">
        <v>506</v>
      </c>
      <c r="V3" s="3186"/>
      <c r="W3" s="3186"/>
      <c r="X3" s="2151"/>
      <c r="Y3" s="2153"/>
      <c r="Z3" s="3189" t="s">
        <v>88</v>
      </c>
      <c r="AA3" s="3190"/>
    </row>
    <row r="4" spans="1:27" ht="51" x14ac:dyDescent="0.2">
      <c r="A4" s="2354"/>
      <c r="B4" s="2158" t="s">
        <v>89</v>
      </c>
      <c r="C4" s="2158" t="s">
        <v>90</v>
      </c>
      <c r="D4" s="2158" t="s">
        <v>91</v>
      </c>
      <c r="E4" s="2158" t="s">
        <v>502</v>
      </c>
      <c r="F4" s="2158" t="s">
        <v>106</v>
      </c>
      <c r="G4" s="2161"/>
      <c r="H4" s="2162" t="s">
        <v>54</v>
      </c>
      <c r="I4" s="2163" t="s">
        <v>502</v>
      </c>
      <c r="K4" s="2354"/>
      <c r="L4" s="2158" t="s">
        <v>89</v>
      </c>
      <c r="M4" s="2158" t="s">
        <v>90</v>
      </c>
      <c r="N4" s="2158" t="s">
        <v>91</v>
      </c>
      <c r="O4" s="2158" t="s">
        <v>502</v>
      </c>
      <c r="P4" s="2158" t="s">
        <v>106</v>
      </c>
      <c r="Q4" s="2161"/>
      <c r="R4" s="2162" t="s">
        <v>54</v>
      </c>
      <c r="S4" s="2163" t="s">
        <v>502</v>
      </c>
      <c r="U4" s="2155" t="s">
        <v>90</v>
      </c>
      <c r="V4" s="2155" t="s">
        <v>91</v>
      </c>
      <c r="W4" s="2158" t="s">
        <v>507</v>
      </c>
      <c r="X4" s="2155"/>
      <c r="Y4" s="2161"/>
      <c r="Z4" s="2162" t="s">
        <v>54</v>
      </c>
      <c r="AA4" s="2163" t="s">
        <v>507</v>
      </c>
    </row>
    <row r="5" spans="1:27" x14ac:dyDescent="0.2">
      <c r="A5" s="2354"/>
      <c r="B5" s="2640" t="s">
        <v>669</v>
      </c>
      <c r="C5" s="2633"/>
      <c r="D5" s="2633"/>
      <c r="E5" s="2633"/>
      <c r="F5" s="2641"/>
      <c r="G5" s="2356"/>
      <c r="H5" s="2356"/>
      <c r="I5" s="2357"/>
      <c r="K5" s="2354"/>
      <c r="L5" s="2640" t="s">
        <v>814</v>
      </c>
      <c r="M5" s="2633">
        <v>2</v>
      </c>
      <c r="N5" s="2633"/>
      <c r="O5" s="2633"/>
      <c r="P5" s="2641"/>
      <c r="Q5" s="2356"/>
      <c r="R5" s="2356"/>
      <c r="S5" s="2357"/>
      <c r="U5" s="1705">
        <f>M5-C5</f>
        <v>2</v>
      </c>
      <c r="V5" s="1705">
        <f t="shared" ref="V5:X11" si="0">N5-D5</f>
        <v>0</v>
      </c>
      <c r="W5" s="1705">
        <f t="shared" si="0"/>
        <v>0</v>
      </c>
      <c r="X5" s="1705">
        <f t="shared" si="0"/>
        <v>0</v>
      </c>
      <c r="Y5" s="1706"/>
      <c r="Z5" s="1705">
        <f>R5-H5</f>
        <v>0</v>
      </c>
      <c r="AA5" s="1705">
        <f t="shared" ref="AA5:AA11" si="1">S5-I5</f>
        <v>0</v>
      </c>
    </row>
    <row r="6" spans="1:27" x14ac:dyDescent="0.2">
      <c r="A6" s="2354"/>
      <c r="B6" s="2642" t="s">
        <v>417</v>
      </c>
      <c r="C6" s="2643"/>
      <c r="D6" s="2644"/>
      <c r="E6" s="2643"/>
      <c r="F6" s="2641"/>
      <c r="G6" s="2356"/>
      <c r="H6" s="2356"/>
      <c r="I6" s="2357"/>
      <c r="K6" s="2354"/>
      <c r="L6" s="2642" t="s">
        <v>892</v>
      </c>
      <c r="M6" s="2643">
        <f>6*M5</f>
        <v>12</v>
      </c>
      <c r="N6" s="2644">
        <f>700*$J$1</f>
        <v>2660</v>
      </c>
      <c r="O6" s="2643">
        <f t="shared" ref="O6:O11" si="2">+N6*M6</f>
        <v>31920</v>
      </c>
      <c r="P6" s="2641"/>
      <c r="Q6" s="2356"/>
      <c r="R6" s="2356"/>
      <c r="S6" s="2357"/>
      <c r="U6" s="1705">
        <f t="shared" ref="U6:U11" si="3">M6-C6</f>
        <v>12</v>
      </c>
      <c r="V6" s="1705">
        <f t="shared" si="0"/>
        <v>2660</v>
      </c>
      <c r="W6" s="1705">
        <f t="shared" si="0"/>
        <v>31920</v>
      </c>
      <c r="X6" s="1705">
        <f t="shared" si="0"/>
        <v>0</v>
      </c>
      <c r="Y6" s="1706"/>
      <c r="Z6" s="1705">
        <f t="shared" ref="Z6:Z11" si="4">R6-H6</f>
        <v>0</v>
      </c>
      <c r="AA6" s="1705">
        <f t="shared" si="1"/>
        <v>0</v>
      </c>
    </row>
    <row r="7" spans="1:27" ht="25.5" x14ac:dyDescent="0.2">
      <c r="A7" s="2354"/>
      <c r="B7" s="2645" t="s">
        <v>670</v>
      </c>
      <c r="C7" s="2643"/>
      <c r="D7" s="2644"/>
      <c r="E7" s="2646"/>
      <c r="F7" s="2641"/>
      <c r="G7" s="2356"/>
      <c r="H7" s="2356"/>
      <c r="I7" s="2357"/>
      <c r="K7" s="2354"/>
      <c r="L7" s="2645" t="s">
        <v>783</v>
      </c>
      <c r="M7" s="2643">
        <f>+M6*4</f>
        <v>48</v>
      </c>
      <c r="N7" s="2644">
        <f>(60+100+20)*$J$1</f>
        <v>684</v>
      </c>
      <c r="O7" s="2643">
        <f t="shared" si="2"/>
        <v>32832</v>
      </c>
      <c r="P7" s="2641"/>
      <c r="Q7" s="2356"/>
      <c r="R7" s="2356"/>
      <c r="S7" s="2357"/>
      <c r="U7" s="1705">
        <f t="shared" si="3"/>
        <v>48</v>
      </c>
      <c r="V7" s="1705">
        <f t="shared" si="0"/>
        <v>684</v>
      </c>
      <c r="W7" s="1705">
        <f t="shared" si="0"/>
        <v>32832</v>
      </c>
      <c r="X7" s="1705">
        <f t="shared" si="0"/>
        <v>0</v>
      </c>
      <c r="Y7" s="1706"/>
      <c r="Z7" s="1705">
        <f t="shared" si="4"/>
        <v>0</v>
      </c>
      <c r="AA7" s="1705">
        <f t="shared" si="1"/>
        <v>0</v>
      </c>
    </row>
    <row r="8" spans="1:27" x14ac:dyDescent="0.2">
      <c r="A8" s="2354"/>
      <c r="B8" s="2358" t="s">
        <v>419</v>
      </c>
      <c r="C8" s="2644"/>
      <c r="D8" s="2644"/>
      <c r="E8" s="2644"/>
      <c r="F8" s="2641"/>
      <c r="G8" s="2356"/>
      <c r="H8" s="2356"/>
      <c r="I8" s="2357"/>
      <c r="K8" s="2354"/>
      <c r="L8" s="2358" t="s">
        <v>419</v>
      </c>
      <c r="M8" s="2644">
        <f>4*M5</f>
        <v>8</v>
      </c>
      <c r="N8" s="2644">
        <f>350*$J$1</f>
        <v>1330</v>
      </c>
      <c r="O8" s="2643">
        <f t="shared" si="2"/>
        <v>10640</v>
      </c>
      <c r="P8" s="2641"/>
      <c r="Q8" s="2356"/>
      <c r="R8" s="2356"/>
      <c r="S8" s="2357"/>
      <c r="U8" s="1705">
        <f t="shared" si="3"/>
        <v>8</v>
      </c>
      <c r="V8" s="1705">
        <f t="shared" si="0"/>
        <v>1330</v>
      </c>
      <c r="W8" s="1705">
        <f t="shared" si="0"/>
        <v>10640</v>
      </c>
      <c r="X8" s="1705">
        <f t="shared" si="0"/>
        <v>0</v>
      </c>
      <c r="Y8" s="1706"/>
      <c r="Z8" s="1705">
        <f t="shared" si="4"/>
        <v>0</v>
      </c>
      <c r="AA8" s="1705">
        <f t="shared" si="1"/>
        <v>0</v>
      </c>
    </row>
    <row r="9" spans="1:27" x14ac:dyDescent="0.2">
      <c r="A9" s="2354"/>
      <c r="B9" s="2355" t="s">
        <v>420</v>
      </c>
      <c r="C9" s="2644"/>
      <c r="D9" s="2644"/>
      <c r="E9" s="2644"/>
      <c r="F9" s="2641"/>
      <c r="G9" s="2356"/>
      <c r="H9" s="2356"/>
      <c r="I9" s="2357"/>
      <c r="K9" s="2354"/>
      <c r="L9" s="2355"/>
      <c r="M9" s="2644">
        <f>10*M5</f>
        <v>20</v>
      </c>
      <c r="N9" s="2644"/>
      <c r="O9" s="2643">
        <f t="shared" si="2"/>
        <v>0</v>
      </c>
      <c r="P9" s="2641"/>
      <c r="Q9" s="2356"/>
      <c r="R9" s="2356"/>
      <c r="S9" s="2357"/>
      <c r="U9" s="1705">
        <f t="shared" si="3"/>
        <v>20</v>
      </c>
      <c r="V9" s="1705">
        <f t="shared" si="0"/>
        <v>0</v>
      </c>
      <c r="W9" s="1705">
        <f t="shared" si="0"/>
        <v>0</v>
      </c>
      <c r="X9" s="1705">
        <f t="shared" si="0"/>
        <v>0</v>
      </c>
      <c r="Y9" s="1706"/>
      <c r="Z9" s="1705">
        <f t="shared" si="4"/>
        <v>0</v>
      </c>
      <c r="AA9" s="1705">
        <f t="shared" si="1"/>
        <v>0</v>
      </c>
    </row>
    <row r="10" spans="1:27" ht="51" x14ac:dyDescent="0.2">
      <c r="A10" s="2354"/>
      <c r="B10" s="2647" t="s">
        <v>586</v>
      </c>
      <c r="C10" s="2644"/>
      <c r="D10" s="2644"/>
      <c r="E10" s="2644"/>
      <c r="F10" s="2641"/>
      <c r="G10" s="2356"/>
      <c r="H10" s="2356"/>
      <c r="I10" s="2357"/>
      <c r="K10" s="2354"/>
      <c r="L10" s="2647" t="s">
        <v>869</v>
      </c>
      <c r="M10" s="2644">
        <v>2</v>
      </c>
      <c r="N10" s="2644">
        <f>200*$J$1*10+4500*$J$1+2000*$J$1</f>
        <v>32300</v>
      </c>
      <c r="O10" s="2643">
        <f t="shared" si="2"/>
        <v>64600</v>
      </c>
      <c r="P10" s="2641"/>
      <c r="Q10" s="2356"/>
      <c r="R10" s="2356"/>
      <c r="S10" s="2357"/>
      <c r="U10" s="1705">
        <f t="shared" si="3"/>
        <v>2</v>
      </c>
      <c r="V10" s="1705">
        <f t="shared" si="0"/>
        <v>32300</v>
      </c>
      <c r="W10" s="1705">
        <f t="shared" si="0"/>
        <v>64600</v>
      </c>
      <c r="X10" s="1705">
        <f t="shared" si="0"/>
        <v>0</v>
      </c>
      <c r="Y10" s="1706"/>
      <c r="Z10" s="1705">
        <f t="shared" si="4"/>
        <v>0</v>
      </c>
      <c r="AA10" s="1705">
        <f t="shared" si="1"/>
        <v>0</v>
      </c>
    </row>
    <row r="11" spans="1:27" ht="25.5" x14ac:dyDescent="0.2">
      <c r="A11" s="2354"/>
      <c r="B11" s="2355" t="s">
        <v>587</v>
      </c>
      <c r="C11" s="2644"/>
      <c r="D11" s="2644"/>
      <c r="E11" s="2644"/>
      <c r="F11" s="2641"/>
      <c r="G11" s="2356"/>
      <c r="H11" s="2356"/>
      <c r="I11" s="2357"/>
      <c r="K11" s="2354"/>
      <c r="L11" s="2355"/>
      <c r="M11" s="2644">
        <f>M5</f>
        <v>2</v>
      </c>
      <c r="N11" s="2644"/>
      <c r="O11" s="2643">
        <f t="shared" si="2"/>
        <v>0</v>
      </c>
      <c r="P11" s="2641"/>
      <c r="Q11" s="2356"/>
      <c r="R11" s="2356"/>
      <c r="S11" s="2357"/>
      <c r="U11" s="1705">
        <f t="shared" si="3"/>
        <v>2</v>
      </c>
      <c r="V11" s="1705">
        <f t="shared" si="0"/>
        <v>0</v>
      </c>
      <c r="W11" s="1705">
        <f t="shared" si="0"/>
        <v>0</v>
      </c>
      <c r="X11" s="1705">
        <f t="shared" si="0"/>
        <v>0</v>
      </c>
      <c r="Y11" s="1706"/>
      <c r="Z11" s="1705">
        <f t="shared" si="4"/>
        <v>0</v>
      </c>
      <c r="AA11" s="1705">
        <f t="shared" si="1"/>
        <v>0</v>
      </c>
    </row>
    <row r="12" spans="1:27" x14ac:dyDescent="0.2">
      <c r="A12" s="2648"/>
      <c r="B12" s="2649" t="s">
        <v>13</v>
      </c>
      <c r="C12" s="2650"/>
      <c r="D12" s="2650"/>
      <c r="E12" s="2650">
        <f>SUM(E6:E11)</f>
        <v>0</v>
      </c>
      <c r="F12" s="2649"/>
      <c r="G12" s="2161"/>
      <c r="H12" s="2362"/>
      <c r="I12" s="2364"/>
      <c r="K12" s="2648"/>
      <c r="L12" s="2649" t="s">
        <v>13</v>
      </c>
      <c r="M12" s="2650"/>
      <c r="N12" s="2650"/>
      <c r="O12" s="2650">
        <f>SUM(O6:O11)</f>
        <v>139992</v>
      </c>
      <c r="P12" s="2649"/>
      <c r="Q12" s="2161"/>
      <c r="R12" s="2362"/>
      <c r="S12" s="2364"/>
      <c r="U12" s="2650"/>
      <c r="V12" s="2650"/>
      <c r="W12" s="2650">
        <f>SUM(W6:W11)</f>
        <v>139992</v>
      </c>
      <c r="X12" s="2649"/>
      <c r="Y12" s="2161"/>
      <c r="Z12" s="2362"/>
      <c r="AA12" s="2364"/>
    </row>
    <row r="13" spans="1:27" ht="13.5" thickBot="1" x14ac:dyDescent="0.25">
      <c r="A13" s="2651"/>
      <c r="B13" s="3280"/>
      <c r="C13" s="3280"/>
      <c r="D13" s="3280"/>
      <c r="E13" s="3280"/>
      <c r="F13" s="3280"/>
      <c r="G13" s="3280"/>
      <c r="H13" s="3280"/>
      <c r="I13" s="2652"/>
      <c r="K13" s="2651"/>
      <c r="L13" s="3277"/>
      <c r="M13" s="3278"/>
      <c r="N13" s="3278"/>
      <c r="O13" s="3278"/>
      <c r="P13" s="3278"/>
      <c r="Q13" s="3278"/>
      <c r="R13" s="3279"/>
      <c r="S13" s="2652"/>
    </row>
    <row r="14" spans="1:27" ht="15.75" customHeight="1" x14ac:dyDescent="0.2">
      <c r="A14" s="2653"/>
      <c r="B14" s="2654"/>
      <c r="C14" s="2654"/>
      <c r="D14" s="2654"/>
      <c r="E14" s="2654"/>
      <c r="F14" s="2654"/>
      <c r="G14" s="2654"/>
      <c r="H14" s="2654"/>
      <c r="I14" s="2655"/>
      <c r="K14" s="2653"/>
      <c r="L14" s="2654"/>
      <c r="M14" s="2654"/>
      <c r="N14" s="2654"/>
      <c r="O14" s="2654"/>
      <c r="P14" s="2654"/>
      <c r="Q14" s="2654"/>
      <c r="R14" s="2654"/>
      <c r="S14" s="2655"/>
    </row>
    <row r="15" spans="1:27" x14ac:dyDescent="0.2">
      <c r="A15" s="2221"/>
      <c r="B15" s="2656"/>
      <c r="C15" s="2656"/>
      <c r="D15" s="2656"/>
      <c r="E15" s="2656"/>
      <c r="F15" s="2656"/>
      <c r="G15" s="2656"/>
      <c r="H15" s="2656"/>
      <c r="I15" s="2190"/>
      <c r="K15" s="2221"/>
      <c r="L15" s="2656"/>
      <c r="M15" s="2656"/>
      <c r="N15" s="2656"/>
      <c r="O15" s="2656"/>
      <c r="P15" s="2656"/>
      <c r="Q15" s="2656"/>
      <c r="R15" s="2656"/>
      <c r="S15" s="2190"/>
    </row>
    <row r="16" spans="1:27" ht="13.5" thickBot="1" x14ac:dyDescent="0.25">
      <c r="A16" s="2221"/>
      <c r="B16" s="2656"/>
      <c r="C16" s="2656"/>
      <c r="D16" s="2656"/>
      <c r="E16" s="2656"/>
      <c r="F16" s="2656"/>
      <c r="G16" s="2656"/>
      <c r="H16" s="2656"/>
      <c r="I16" s="2190"/>
      <c r="K16" s="2221"/>
      <c r="L16" s="2656"/>
      <c r="M16" s="2656"/>
      <c r="N16" s="2656"/>
      <c r="O16" s="2656"/>
      <c r="P16" s="2656"/>
      <c r="Q16" s="2656"/>
      <c r="R16" s="2656"/>
      <c r="S16" s="2190"/>
    </row>
    <row r="17" spans="1:27" ht="13.5" thickBot="1" x14ac:dyDescent="0.25">
      <c r="A17" s="2636"/>
      <c r="B17" s="2637" t="s">
        <v>672</v>
      </c>
      <c r="C17" s="2638"/>
      <c r="D17" s="2639"/>
      <c r="E17" s="2639">
        <f>+E12</f>
        <v>0</v>
      </c>
      <c r="F17" s="2639">
        <f>+F12</f>
        <v>0</v>
      </c>
      <c r="G17" s="2639">
        <f>+G12</f>
        <v>0</v>
      </c>
      <c r="H17" s="2639">
        <f>+H12</f>
        <v>0</v>
      </c>
      <c r="I17" s="2639">
        <f>+I12</f>
        <v>0</v>
      </c>
      <c r="K17" s="2636"/>
      <c r="L17" s="2637" t="s">
        <v>672</v>
      </c>
      <c r="M17" s="2638"/>
      <c r="N17" s="2639"/>
      <c r="O17" s="2639">
        <f>+O12</f>
        <v>139992</v>
      </c>
      <c r="P17" s="2639">
        <f>+P12</f>
        <v>0</v>
      </c>
      <c r="Q17" s="2639">
        <f>+Q12</f>
        <v>0</v>
      </c>
      <c r="R17" s="2639">
        <f>+R12</f>
        <v>0</v>
      </c>
      <c r="S17" s="2639">
        <f>+S12</f>
        <v>0</v>
      </c>
      <c r="U17" s="2638"/>
      <c r="V17" s="2639"/>
      <c r="W17" s="2639">
        <f>+W12</f>
        <v>139992</v>
      </c>
      <c r="X17" s="2639">
        <f>+X12</f>
        <v>0</v>
      </c>
      <c r="Y17" s="2639">
        <f>+Y12</f>
        <v>0</v>
      </c>
      <c r="Z17" s="2639">
        <f>+Z12</f>
        <v>0</v>
      </c>
      <c r="AA17" s="2639">
        <f>+AA12</f>
        <v>0</v>
      </c>
    </row>
    <row r="19" spans="1:27" x14ac:dyDescent="0.2">
      <c r="E19" s="2657"/>
      <c r="O19" s="2657">
        <v>0</v>
      </c>
    </row>
  </sheetData>
  <mergeCells count="8">
    <mergeCell ref="L13:R13"/>
    <mergeCell ref="B13:H13"/>
    <mergeCell ref="Z3:AA3"/>
    <mergeCell ref="C3:E3"/>
    <mergeCell ref="H3:I3"/>
    <mergeCell ref="M3:O3"/>
    <mergeCell ref="R3:S3"/>
    <mergeCell ref="U3:W3"/>
  </mergeCells>
  <pageMargins left="0.70866141732283505" right="0.70866141732283505" top="0.74803149606299202" bottom="0.74803149606299202" header="0.31496062992126" footer="0.31496062992126"/>
  <pageSetup paperSize="9" scale="90" fitToHeight="0" orientation="portrait" r:id="rId1"/>
  <headerFooter>
    <oddHeader>&amp;L&amp;D&amp;C&amp;A&amp;R&amp;F</oddHeader>
    <oddFooter>&amp;L&amp;P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13</vt:i4>
      </vt:variant>
      <vt:variant>
        <vt:lpstr>טווחים בעלי שם</vt:lpstr>
      </vt:variant>
      <vt:variant>
        <vt:i4>15</vt:i4>
      </vt:variant>
    </vt:vector>
  </HeadingPairs>
  <TitlesOfParts>
    <vt:vector size="28" baseType="lpstr">
      <vt:lpstr>ביצוע 31.12</vt:lpstr>
      <vt:lpstr>סיכום 9.17   (2)</vt:lpstr>
      <vt:lpstr>סיכום 9.17  </vt:lpstr>
      <vt:lpstr>סיכום 7.16 </vt:lpstr>
      <vt:lpstr>חמ"ע</vt:lpstr>
      <vt:lpstr>צרפת</vt:lpstr>
      <vt:lpstr>צ.אמריקה </vt:lpstr>
      <vt:lpstr>אנגליה</vt:lpstr>
      <vt:lpstr>הונגריה ומזרח אירופה</vt:lpstr>
      <vt:lpstr>ארגנטינה</vt:lpstr>
      <vt:lpstr>ברזיל</vt:lpstr>
      <vt:lpstr>גלובל</vt:lpstr>
      <vt:lpstr>הכשרת מורים</vt:lpstr>
      <vt:lpstr>אנגליה!WPrint_Area_W</vt:lpstr>
      <vt:lpstr>ארגנטינה!WPrint_Area_W</vt:lpstr>
      <vt:lpstr>ברזיל!WPrint_Area_W</vt:lpstr>
      <vt:lpstr>גלובל!WPrint_Area_W</vt:lpstr>
      <vt:lpstr>'הונגריה ומזרח אירופה'!WPrint_Area_W</vt:lpstr>
      <vt:lpstr>'הכשרת מורים'!WPrint_Area_W</vt:lpstr>
      <vt:lpstr>'חמ"ע'!WPrint_Area_W</vt:lpstr>
      <vt:lpstr>'סיכום 7.16 '!WPrint_Area_W</vt:lpstr>
      <vt:lpstr>'סיכום 9.17  '!WPrint_Area_W</vt:lpstr>
      <vt:lpstr>'סיכום 9.17   (2)'!WPrint_Area_W</vt:lpstr>
      <vt:lpstr>'צ.אמריקה '!WPrint_Area_W</vt:lpstr>
      <vt:lpstr>צרפת!WPrint_Area_W</vt:lpstr>
      <vt:lpstr>'סיכום 7.16 '!WPrint_TitlesW</vt:lpstr>
      <vt:lpstr>'סיכום 9.17  '!WPrint_TitlesW</vt:lpstr>
      <vt:lpstr>'סיכום 9.17   (2)'!WPrint_TitlesW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Windows7</dc:creator>
  <cp:lastModifiedBy>מיטל יצחקי</cp:lastModifiedBy>
  <cp:lastPrinted>2016-12-28T06:54:06Z</cp:lastPrinted>
  <dcterms:created xsi:type="dcterms:W3CDTF">2015-11-05T12:05:45Z</dcterms:created>
  <dcterms:modified xsi:type="dcterms:W3CDTF">2016-12-29T12:20:28Z</dcterms:modified>
</cp:coreProperties>
</file>